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autoCompressPictures="0"/>
  <bookViews>
    <workbookView xWindow="0" yWindow="0" windowWidth="19200" windowHeight="10545" tabRatio="861" firstSheet="1" activeTab="13"/>
  </bookViews>
  <sheets>
    <sheet name="Overview" sheetId="26" r:id="rId1"/>
    <sheet name="Commentary" sheetId="27" r:id="rId2"/>
    <sheet name="CDCM Forecast Data" sheetId="29" r:id="rId3"/>
    <sheet name="Table 1" sheetId="51" r:id="rId4"/>
    <sheet name="Smoothed Input Details" sheetId="30" r:id="rId5"/>
    <sheet name="Mat of App" sheetId="31" r:id="rId6"/>
    <sheet name="CDCM Volume Forecasts" sheetId="32" r:id="rId7"/>
    <sheet name="CDCM Timebands" sheetId="33" r:id="rId8"/>
    <sheet name="(Y)" sheetId="34" r:id="rId9"/>
    <sheet name="(Y+1)" sheetId="35" r:id="rId10"/>
    <sheet name="(Y+2)" sheetId="36" r:id="rId11"/>
    <sheet name="(Y+3)" sheetId="37" r:id="rId12"/>
    <sheet name="(Y+4)" sheetId="38" r:id="rId13"/>
    <sheet name="Tariffs ARP" sheetId="39" r:id="rId14"/>
    <sheet name="Typical Bill" sheetId="40" r:id="rId15"/>
    <sheet name="Vlookup" sheetId="41" r:id="rId16"/>
    <sheet name="Tariffs" sheetId="55" r:id="rId17"/>
    <sheet name="Summary" sheetId="56" r:id="rId18"/>
    <sheet name="CDCM" sheetId="57" r:id="rId19"/>
  </sheets>
  <externalReferences>
    <externalReference r:id="rId20"/>
    <externalReference r:id="rId21"/>
    <externalReference r:id="rId22"/>
  </externalReferences>
  <definedNames>
    <definedName name="Forcast_Data" localSheetId="15">'CDCM Forecast Data'!$A$14:$J$281</definedName>
    <definedName name="PC_LLFC_1" localSheetId="8">[1]Tariffs!$D$88:$E$145,[1]Tariffs!$L$88:$L$145</definedName>
    <definedName name="PC_LLFC_1" localSheetId="14">'Typical Bill'!#REF!,'Typical Bill'!#REF!</definedName>
    <definedName name="PC_LLFC_Source" localSheetId="8">[1]Tariffs!$D$21:$E$78,[1]Tariffs!$L$21:$L$78</definedName>
    <definedName name="PC_LLFC_Source" localSheetId="14">'Typical Bill'!#REF!,'Typical Bill'!#REF!</definedName>
    <definedName name="_xlnm.Print_Area" localSheetId="18">CDCM!$A:$V</definedName>
    <definedName name="_xlnm.Print_Area" localSheetId="3">'Table 1'!$A$1:$K$52</definedName>
    <definedName name="_xlnm.Print_Area" localSheetId="14">'Typical Bill'!$B$18:$G$125</definedName>
    <definedName name="_xlnm.Print_Titles" localSheetId="14">'Typical Bill'!$13:$19</definedName>
    <definedName name="Tariffs_Y" localSheetId="14">'Typical Bill'!#REF!</definedName>
    <definedName name="Tariffs_Y_1" localSheetId="14">'Typical Bill'!#REF!</definedName>
    <definedName name="Tariffs_Y_2" localSheetId="14">'Typical Bill'!#REF!</definedName>
    <definedName name="Tariffs_Y_3" localSheetId="14">'Typical Bill'!#REF!</definedName>
    <definedName name="Tariffs_Y_4" localSheetId="14">'Typical Bill'!#REF!</definedName>
    <definedName name="Volume_Forecast_Data" localSheetId="15">'CDCM Volume Forecasts'!$A$28:$AL$136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13" i="29" l="1"/>
  <c r="H13" i="29"/>
  <c r="G13" i="29"/>
  <c r="F13" i="29"/>
  <c r="E13" i="29"/>
  <c r="D13" i="29"/>
  <c r="G42" i="51" l="1"/>
  <c r="H42" i="51" s="1"/>
  <c r="I42" i="51" s="1"/>
  <c r="J42" i="51" s="1"/>
  <c r="E261" i="29" l="1"/>
  <c r="E260" i="29"/>
  <c r="E259" i="29"/>
  <c r="E258" i="29"/>
  <c r="F258" i="29" s="1"/>
  <c r="G258" i="29" s="1"/>
  <c r="H258" i="29" s="1"/>
  <c r="I258" i="29" s="1"/>
  <c r="E257" i="29"/>
  <c r="E256" i="29"/>
  <c r="E255" i="29"/>
  <c r="E254" i="29"/>
  <c r="F254" i="29" s="1"/>
  <c r="G254" i="29" s="1"/>
  <c r="H254" i="29" s="1"/>
  <c r="I254" i="29" s="1"/>
  <c r="E253" i="29"/>
  <c r="E251" i="29"/>
  <c r="E250" i="29"/>
  <c r="E249" i="29"/>
  <c r="F249" i="29" s="1"/>
  <c r="G249" i="29" s="1"/>
  <c r="H249" i="29" s="1"/>
  <c r="I249" i="29" s="1"/>
  <c r="E248" i="29"/>
  <c r="E247" i="29"/>
  <c r="E246" i="29"/>
  <c r="E245" i="29"/>
  <c r="F245" i="29" s="1"/>
  <c r="G245" i="29" s="1"/>
  <c r="H245" i="29" s="1"/>
  <c r="I245" i="29" s="1"/>
  <c r="E244" i="29"/>
  <c r="E243" i="29"/>
  <c r="E241" i="29"/>
  <c r="E240" i="29"/>
  <c r="E239" i="29"/>
  <c r="E238" i="29"/>
  <c r="E237" i="29"/>
  <c r="E236" i="29"/>
  <c r="F236" i="29" s="1"/>
  <c r="G236" i="29" s="1"/>
  <c r="H236" i="29" s="1"/>
  <c r="I236" i="29" s="1"/>
  <c r="E235" i="29"/>
  <c r="E234" i="29"/>
  <c r="E233" i="29"/>
  <c r="E231" i="29"/>
  <c r="F231" i="29" s="1"/>
  <c r="G231" i="29" s="1"/>
  <c r="H231" i="29" s="1"/>
  <c r="I231" i="29" s="1"/>
  <c r="E230" i="29"/>
  <c r="E229" i="29"/>
  <c r="E228" i="29"/>
  <c r="E227" i="29"/>
  <c r="F227" i="29" s="1"/>
  <c r="G227" i="29" s="1"/>
  <c r="H227" i="29" s="1"/>
  <c r="I227" i="29" s="1"/>
  <c r="E226" i="29"/>
  <c r="E225" i="29"/>
  <c r="E224" i="29"/>
  <c r="E223" i="29"/>
  <c r="F261" i="29"/>
  <c r="G261" i="29" s="1"/>
  <c r="H261" i="29" s="1"/>
  <c r="I261" i="29" s="1"/>
  <c r="F260" i="29"/>
  <c r="G260" i="29" s="1"/>
  <c r="H260" i="29" s="1"/>
  <c r="I260" i="29" s="1"/>
  <c r="F259" i="29"/>
  <c r="G259" i="29" s="1"/>
  <c r="H259" i="29" s="1"/>
  <c r="I259" i="29" s="1"/>
  <c r="F257" i="29"/>
  <c r="G257" i="29" s="1"/>
  <c r="H257" i="29" s="1"/>
  <c r="I257" i="29" s="1"/>
  <c r="F256" i="29"/>
  <c r="G256" i="29" s="1"/>
  <c r="H256" i="29" s="1"/>
  <c r="I256" i="29" s="1"/>
  <c r="G255" i="29"/>
  <c r="H255" i="29" s="1"/>
  <c r="I255" i="29" s="1"/>
  <c r="F255" i="29"/>
  <c r="F253" i="29"/>
  <c r="G253" i="29" s="1"/>
  <c r="H253" i="29" s="1"/>
  <c r="I253" i="29" s="1"/>
  <c r="G251" i="29"/>
  <c r="H251" i="29" s="1"/>
  <c r="I251" i="29" s="1"/>
  <c r="F251" i="29"/>
  <c r="F250" i="29"/>
  <c r="G250" i="29" s="1"/>
  <c r="H250" i="29" s="1"/>
  <c r="I250" i="29" s="1"/>
  <c r="F248" i="29"/>
  <c r="G248" i="29" s="1"/>
  <c r="H248" i="29" s="1"/>
  <c r="I248" i="29" s="1"/>
  <c r="F247" i="29"/>
  <c r="G247" i="29" s="1"/>
  <c r="H247" i="29" s="1"/>
  <c r="I247" i="29" s="1"/>
  <c r="F246" i="29"/>
  <c r="G246" i="29" s="1"/>
  <c r="H246" i="29" s="1"/>
  <c r="I246" i="29" s="1"/>
  <c r="F244" i="29"/>
  <c r="G244" i="29" s="1"/>
  <c r="H244" i="29" s="1"/>
  <c r="I244" i="29" s="1"/>
  <c r="F243" i="29"/>
  <c r="G243" i="29" s="1"/>
  <c r="H243" i="29" s="1"/>
  <c r="I243" i="29" s="1"/>
  <c r="G241" i="29"/>
  <c r="H241" i="29" s="1"/>
  <c r="I241" i="29" s="1"/>
  <c r="F241" i="29"/>
  <c r="F240" i="29"/>
  <c r="G240" i="29" s="1"/>
  <c r="H240" i="29" s="1"/>
  <c r="I240" i="29" s="1"/>
  <c r="F239" i="29"/>
  <c r="G239" i="29" s="1"/>
  <c r="H239" i="29" s="1"/>
  <c r="I239" i="29" s="1"/>
  <c r="G238" i="29"/>
  <c r="H238" i="29" s="1"/>
  <c r="I238" i="29" s="1"/>
  <c r="F238" i="29"/>
  <c r="F237" i="29"/>
  <c r="G237" i="29" s="1"/>
  <c r="H237" i="29" s="1"/>
  <c r="I237" i="29" s="1"/>
  <c r="F235" i="29"/>
  <c r="G235" i="29" s="1"/>
  <c r="H235" i="29" s="1"/>
  <c r="I235" i="29" s="1"/>
  <c r="F234" i="29"/>
  <c r="G234" i="29" s="1"/>
  <c r="H234" i="29" s="1"/>
  <c r="I234" i="29" s="1"/>
  <c r="G233" i="29"/>
  <c r="H233" i="29" s="1"/>
  <c r="I233" i="29" s="1"/>
  <c r="F233" i="29"/>
  <c r="F230" i="29"/>
  <c r="G230" i="29" s="1"/>
  <c r="H230" i="29" s="1"/>
  <c r="I230" i="29" s="1"/>
  <c r="G229" i="29"/>
  <c r="H229" i="29" s="1"/>
  <c r="I229" i="29" s="1"/>
  <c r="F229" i="29"/>
  <c r="F228" i="29"/>
  <c r="G228" i="29" s="1"/>
  <c r="H228" i="29" s="1"/>
  <c r="I228" i="29" s="1"/>
  <c r="F226" i="29"/>
  <c r="G226" i="29" s="1"/>
  <c r="H226" i="29" s="1"/>
  <c r="I226" i="29" s="1"/>
  <c r="F225" i="29"/>
  <c r="G225" i="29" s="1"/>
  <c r="H225" i="29" s="1"/>
  <c r="I225" i="29" s="1"/>
  <c r="G224" i="29"/>
  <c r="H224" i="29" s="1"/>
  <c r="I224" i="29" s="1"/>
  <c r="F224" i="29"/>
  <c r="F223" i="29"/>
  <c r="G223" i="29" s="1"/>
  <c r="H223" i="29" s="1"/>
  <c r="I223" i="29" s="1"/>
  <c r="E212" i="29"/>
  <c r="E211" i="29"/>
  <c r="E210" i="29"/>
  <c r="E209" i="29"/>
  <c r="F209" i="29" s="1"/>
  <c r="G209" i="29" s="1"/>
  <c r="H209" i="29" s="1"/>
  <c r="I209" i="29" s="1"/>
  <c r="E207" i="29"/>
  <c r="E206" i="29"/>
  <c r="E205" i="29"/>
  <c r="E204" i="29"/>
  <c r="E202" i="29"/>
  <c r="E201" i="29"/>
  <c r="E200" i="29"/>
  <c r="E199" i="29"/>
  <c r="F199" i="29" s="1"/>
  <c r="G199" i="29" s="1"/>
  <c r="H199" i="29" s="1"/>
  <c r="I199" i="29" s="1"/>
  <c r="E196" i="29"/>
  <c r="E195" i="29"/>
  <c r="E194" i="29"/>
  <c r="E193" i="29"/>
  <c r="F193" i="29" s="1"/>
  <c r="G193" i="29" s="1"/>
  <c r="H193" i="29" s="1"/>
  <c r="I193" i="29" s="1"/>
  <c r="E192" i="29"/>
  <c r="E190" i="29"/>
  <c r="E189" i="29"/>
  <c r="E188" i="29"/>
  <c r="F188" i="29" s="1"/>
  <c r="G188" i="29" s="1"/>
  <c r="H188" i="29" s="1"/>
  <c r="I188" i="29" s="1"/>
  <c r="E187" i="29"/>
  <c r="E186" i="29"/>
  <c r="E184" i="29"/>
  <c r="E183" i="29"/>
  <c r="E182" i="29"/>
  <c r="E181" i="29"/>
  <c r="E180" i="29"/>
  <c r="E177" i="29"/>
  <c r="F177" i="29" s="1"/>
  <c r="G177" i="29" s="1"/>
  <c r="H177" i="29" s="1"/>
  <c r="I177" i="29" s="1"/>
  <c r="E176" i="29"/>
  <c r="E175" i="29"/>
  <c r="E174" i="29"/>
  <c r="E173" i="29"/>
  <c r="F173" i="29" s="1"/>
  <c r="G173" i="29" s="1"/>
  <c r="H173" i="29" s="1"/>
  <c r="I173" i="29" s="1"/>
  <c r="E172" i="29"/>
  <c r="E171" i="29"/>
  <c r="E170" i="29"/>
  <c r="E169" i="29"/>
  <c r="F169" i="29" s="1"/>
  <c r="G169" i="29" s="1"/>
  <c r="H169" i="29" s="1"/>
  <c r="I169" i="29" s="1"/>
  <c r="E167" i="29"/>
  <c r="E166" i="29"/>
  <c r="E165" i="29"/>
  <c r="E164" i="29"/>
  <c r="E163" i="29"/>
  <c r="E162" i="29"/>
  <c r="E161" i="29"/>
  <c r="E160" i="29"/>
  <c r="F160" i="29" s="1"/>
  <c r="G160" i="29" s="1"/>
  <c r="H160" i="29" s="1"/>
  <c r="I160" i="29" s="1"/>
  <c r="E159" i="29"/>
  <c r="E157" i="29"/>
  <c r="E156" i="29"/>
  <c r="E155" i="29"/>
  <c r="F155" i="29" s="1"/>
  <c r="G155" i="29" s="1"/>
  <c r="H155" i="29" s="1"/>
  <c r="I155" i="29" s="1"/>
  <c r="E154" i="29"/>
  <c r="E153" i="29"/>
  <c r="E152" i="29"/>
  <c r="E151" i="29"/>
  <c r="F151" i="29" s="1"/>
  <c r="G151" i="29" s="1"/>
  <c r="H151" i="29" s="1"/>
  <c r="I151" i="29" s="1"/>
  <c r="E150" i="29"/>
  <c r="E149" i="29"/>
  <c r="F212" i="29"/>
  <c r="G212" i="29" s="1"/>
  <c r="H212" i="29" s="1"/>
  <c r="I212" i="29" s="1"/>
  <c r="F211" i="29"/>
  <c r="G211" i="29" s="1"/>
  <c r="H211" i="29" s="1"/>
  <c r="I211" i="29" s="1"/>
  <c r="G210" i="29"/>
  <c r="H210" i="29" s="1"/>
  <c r="I210" i="29" s="1"/>
  <c r="F210" i="29"/>
  <c r="F207" i="29"/>
  <c r="G207" i="29" s="1"/>
  <c r="H207" i="29" s="1"/>
  <c r="I207" i="29" s="1"/>
  <c r="F206" i="29"/>
  <c r="G206" i="29" s="1"/>
  <c r="H206" i="29" s="1"/>
  <c r="I206" i="29" s="1"/>
  <c r="F205" i="29"/>
  <c r="G205" i="29" s="1"/>
  <c r="H205" i="29" s="1"/>
  <c r="I205" i="29" s="1"/>
  <c r="F204" i="29"/>
  <c r="G204" i="29" s="1"/>
  <c r="H204" i="29" s="1"/>
  <c r="I204" i="29" s="1"/>
  <c r="F202" i="29"/>
  <c r="G202" i="29" s="1"/>
  <c r="H202" i="29" s="1"/>
  <c r="I202" i="29" s="1"/>
  <c r="F201" i="29"/>
  <c r="G201" i="29" s="1"/>
  <c r="H201" i="29" s="1"/>
  <c r="I201" i="29" s="1"/>
  <c r="F200" i="29"/>
  <c r="G200" i="29" s="1"/>
  <c r="H200" i="29" s="1"/>
  <c r="I200" i="29" s="1"/>
  <c r="F196" i="29"/>
  <c r="G196" i="29" s="1"/>
  <c r="H196" i="29" s="1"/>
  <c r="I196" i="29" s="1"/>
  <c r="F195" i="29"/>
  <c r="G195" i="29" s="1"/>
  <c r="H195" i="29" s="1"/>
  <c r="I195" i="29" s="1"/>
  <c r="G194" i="29"/>
  <c r="H194" i="29" s="1"/>
  <c r="I194" i="29" s="1"/>
  <c r="F194" i="29"/>
  <c r="F192" i="29"/>
  <c r="G192" i="29" s="1"/>
  <c r="H192" i="29" s="1"/>
  <c r="I192" i="29" s="1"/>
  <c r="F190" i="29"/>
  <c r="G190" i="29" s="1"/>
  <c r="H190" i="29" s="1"/>
  <c r="I190" i="29" s="1"/>
  <c r="F189" i="29"/>
  <c r="G189" i="29" s="1"/>
  <c r="H189" i="29" s="1"/>
  <c r="I189" i="29" s="1"/>
  <c r="F187" i="29"/>
  <c r="G187" i="29" s="1"/>
  <c r="H187" i="29" s="1"/>
  <c r="I187" i="29" s="1"/>
  <c r="F186" i="29"/>
  <c r="G186" i="29" s="1"/>
  <c r="H186" i="29" s="1"/>
  <c r="I186" i="29" s="1"/>
  <c r="F184" i="29"/>
  <c r="G184" i="29" s="1"/>
  <c r="H184" i="29" s="1"/>
  <c r="I184" i="29" s="1"/>
  <c r="F183" i="29"/>
  <c r="G183" i="29" s="1"/>
  <c r="H183" i="29" s="1"/>
  <c r="I183" i="29" s="1"/>
  <c r="F182" i="29"/>
  <c r="G182" i="29" s="1"/>
  <c r="H182" i="29" s="1"/>
  <c r="I182" i="29" s="1"/>
  <c r="F181" i="29"/>
  <c r="G181" i="29" s="1"/>
  <c r="H181" i="29" s="1"/>
  <c r="I181" i="29" s="1"/>
  <c r="F180" i="29"/>
  <c r="G180" i="29" s="1"/>
  <c r="H180" i="29" s="1"/>
  <c r="I180" i="29" s="1"/>
  <c r="F176" i="29"/>
  <c r="G176" i="29" s="1"/>
  <c r="H176" i="29" s="1"/>
  <c r="I176" i="29" s="1"/>
  <c r="F175" i="29"/>
  <c r="G175" i="29" s="1"/>
  <c r="H175" i="29" s="1"/>
  <c r="I175" i="29" s="1"/>
  <c r="G174" i="29"/>
  <c r="H174" i="29" s="1"/>
  <c r="I174" i="29" s="1"/>
  <c r="F174" i="29"/>
  <c r="F172" i="29"/>
  <c r="G172" i="29" s="1"/>
  <c r="H172" i="29" s="1"/>
  <c r="I172" i="29" s="1"/>
  <c r="F171" i="29"/>
  <c r="G171" i="29" s="1"/>
  <c r="H171" i="29" s="1"/>
  <c r="I171" i="29" s="1"/>
  <c r="F170" i="29"/>
  <c r="G170" i="29" s="1"/>
  <c r="H170" i="29" s="1"/>
  <c r="I170" i="29" s="1"/>
  <c r="F167" i="29"/>
  <c r="G167" i="29" s="1"/>
  <c r="H167" i="29" s="1"/>
  <c r="I167" i="29" s="1"/>
  <c r="F166" i="29"/>
  <c r="G166" i="29" s="1"/>
  <c r="H166" i="29" s="1"/>
  <c r="I166" i="29" s="1"/>
  <c r="G165" i="29"/>
  <c r="H165" i="29" s="1"/>
  <c r="I165" i="29" s="1"/>
  <c r="F165" i="29"/>
  <c r="F164" i="29"/>
  <c r="G164" i="29" s="1"/>
  <c r="H164" i="29" s="1"/>
  <c r="I164" i="29" s="1"/>
  <c r="F163" i="29"/>
  <c r="G163" i="29" s="1"/>
  <c r="H163" i="29" s="1"/>
  <c r="I163" i="29" s="1"/>
  <c r="F162" i="29"/>
  <c r="G162" i="29" s="1"/>
  <c r="H162" i="29" s="1"/>
  <c r="I162" i="29" s="1"/>
  <c r="F161" i="29"/>
  <c r="G161" i="29" s="1"/>
  <c r="H161" i="29" s="1"/>
  <c r="I161" i="29" s="1"/>
  <c r="F159" i="29"/>
  <c r="G159" i="29" s="1"/>
  <c r="H159" i="29" s="1"/>
  <c r="I159" i="29" s="1"/>
  <c r="F157" i="29"/>
  <c r="G157" i="29" s="1"/>
  <c r="H157" i="29" s="1"/>
  <c r="I157" i="29" s="1"/>
  <c r="G156" i="29"/>
  <c r="H156" i="29" s="1"/>
  <c r="I156" i="29" s="1"/>
  <c r="F156" i="29"/>
  <c r="F154" i="29"/>
  <c r="G154" i="29" s="1"/>
  <c r="H154" i="29" s="1"/>
  <c r="I154" i="29" s="1"/>
  <c r="F153" i="29"/>
  <c r="G153" i="29" s="1"/>
  <c r="H153" i="29" s="1"/>
  <c r="I153" i="29" s="1"/>
  <c r="F152" i="29"/>
  <c r="G152" i="29" s="1"/>
  <c r="H152" i="29" s="1"/>
  <c r="I152" i="29" s="1"/>
  <c r="F150" i="29"/>
  <c r="G150" i="29" s="1"/>
  <c r="H150" i="29" s="1"/>
  <c r="I150" i="29" s="1"/>
  <c r="F149" i="29"/>
  <c r="G149" i="29" s="1"/>
  <c r="H149" i="29" s="1"/>
  <c r="I149" i="29" s="1"/>
  <c r="E109" i="29"/>
  <c r="E108" i="29"/>
  <c r="E107" i="29"/>
  <c r="E106" i="29"/>
  <c r="F106" i="29" s="1"/>
  <c r="G106" i="29" s="1"/>
  <c r="H106" i="29" s="1"/>
  <c r="I106" i="29" s="1"/>
  <c r="E105" i="29"/>
  <c r="E104" i="29"/>
  <c r="E103" i="29"/>
  <c r="E102" i="29"/>
  <c r="F102" i="29" s="1"/>
  <c r="G102" i="29" s="1"/>
  <c r="H102" i="29" s="1"/>
  <c r="I102" i="29" s="1"/>
  <c r="E101" i="29"/>
  <c r="E100" i="29"/>
  <c r="E99" i="29"/>
  <c r="E98" i="29"/>
  <c r="F98" i="29" s="1"/>
  <c r="G98" i="29" s="1"/>
  <c r="H98" i="29" s="1"/>
  <c r="I98" i="29" s="1"/>
  <c r="E97" i="29"/>
  <c r="E96" i="29"/>
  <c r="E95" i="29"/>
  <c r="E94" i="29"/>
  <c r="F94" i="29" s="1"/>
  <c r="G94" i="29" s="1"/>
  <c r="H94" i="29" s="1"/>
  <c r="I94" i="29" s="1"/>
  <c r="E93" i="29"/>
  <c r="E92" i="29"/>
  <c r="E91" i="29"/>
  <c r="F109" i="29"/>
  <c r="G109" i="29" s="1"/>
  <c r="H109" i="29" s="1"/>
  <c r="I109" i="29" s="1"/>
  <c r="F108" i="29"/>
  <c r="G108" i="29" s="1"/>
  <c r="H108" i="29" s="1"/>
  <c r="I108" i="29" s="1"/>
  <c r="G107" i="29"/>
  <c r="H107" i="29" s="1"/>
  <c r="I107" i="29" s="1"/>
  <c r="F107" i="29"/>
  <c r="F105" i="29"/>
  <c r="G105" i="29" s="1"/>
  <c r="H105" i="29" s="1"/>
  <c r="I105" i="29" s="1"/>
  <c r="F104" i="29"/>
  <c r="G104" i="29" s="1"/>
  <c r="H104" i="29" s="1"/>
  <c r="I104" i="29" s="1"/>
  <c r="F103" i="29"/>
  <c r="G103" i="29" s="1"/>
  <c r="H103" i="29" s="1"/>
  <c r="I103" i="29" s="1"/>
  <c r="F101" i="29"/>
  <c r="G101" i="29" s="1"/>
  <c r="H101" i="29" s="1"/>
  <c r="I101" i="29" s="1"/>
  <c r="F100" i="29"/>
  <c r="G100" i="29" s="1"/>
  <c r="H100" i="29" s="1"/>
  <c r="I100" i="29" s="1"/>
  <c r="F99" i="29"/>
  <c r="G99" i="29" s="1"/>
  <c r="H99" i="29" s="1"/>
  <c r="I99" i="29" s="1"/>
  <c r="F97" i="29"/>
  <c r="G97" i="29" s="1"/>
  <c r="H97" i="29" s="1"/>
  <c r="I97" i="29" s="1"/>
  <c r="F96" i="29"/>
  <c r="G96" i="29" s="1"/>
  <c r="H96" i="29" s="1"/>
  <c r="I96" i="29" s="1"/>
  <c r="F95" i="29"/>
  <c r="G95" i="29" s="1"/>
  <c r="H95" i="29" s="1"/>
  <c r="I95" i="29" s="1"/>
  <c r="F93" i="29"/>
  <c r="G93" i="29" s="1"/>
  <c r="H93" i="29" s="1"/>
  <c r="I93" i="29" s="1"/>
  <c r="G92" i="29"/>
  <c r="H92" i="29" s="1"/>
  <c r="I92" i="29" s="1"/>
  <c r="F92" i="29"/>
  <c r="F91" i="29"/>
  <c r="G91" i="29" s="1"/>
  <c r="H91" i="29" s="1"/>
  <c r="I91" i="29" s="1"/>
  <c r="F89" i="29"/>
  <c r="G89" i="29" s="1"/>
  <c r="H89" i="29" s="1"/>
  <c r="I89" i="29" s="1"/>
  <c r="E89" i="29"/>
  <c r="G88" i="29"/>
  <c r="H88" i="29" s="1"/>
  <c r="I88" i="29" s="1"/>
  <c r="F88" i="29"/>
  <c r="E88" i="29"/>
  <c r="H87" i="29"/>
  <c r="I87" i="29" s="1"/>
  <c r="G87" i="29"/>
  <c r="F87" i="29"/>
  <c r="E87" i="29"/>
  <c r="E86" i="29"/>
  <c r="F86" i="29" s="1"/>
  <c r="G86" i="29" s="1"/>
  <c r="H86" i="29" s="1"/>
  <c r="I86" i="29" s="1"/>
  <c r="F85" i="29"/>
  <c r="G85" i="29" s="1"/>
  <c r="H85" i="29" s="1"/>
  <c r="I85" i="29" s="1"/>
  <c r="E85" i="29"/>
  <c r="G84" i="29"/>
  <c r="H84" i="29" s="1"/>
  <c r="I84" i="29" s="1"/>
  <c r="F84" i="29"/>
  <c r="E84" i="29"/>
  <c r="H83" i="29"/>
  <c r="I83" i="29" s="1"/>
  <c r="G83" i="29"/>
  <c r="F83" i="29"/>
  <c r="E83" i="29"/>
  <c r="E82" i="29"/>
  <c r="F82" i="29" s="1"/>
  <c r="G82" i="29" s="1"/>
  <c r="H82" i="29" s="1"/>
  <c r="I82" i="29" s="1"/>
  <c r="F81" i="29"/>
  <c r="G81" i="29" s="1"/>
  <c r="H81" i="29" s="1"/>
  <c r="I81" i="29" s="1"/>
  <c r="E81" i="29"/>
  <c r="G80" i="29"/>
  <c r="H80" i="29" s="1"/>
  <c r="I80" i="29" s="1"/>
  <c r="F80" i="29"/>
  <c r="E80" i="29"/>
  <c r="H79" i="29"/>
  <c r="I79" i="29" s="1"/>
  <c r="G79" i="29"/>
  <c r="F79" i="29"/>
  <c r="E79" i="29"/>
  <c r="E78" i="29"/>
  <c r="F78" i="29" s="1"/>
  <c r="G78" i="29" s="1"/>
  <c r="H78" i="29" s="1"/>
  <c r="I78" i="29" s="1"/>
  <c r="F77" i="29"/>
  <c r="G77" i="29" s="1"/>
  <c r="H77" i="29" s="1"/>
  <c r="I77" i="29" s="1"/>
  <c r="E77" i="29"/>
  <c r="E75" i="29"/>
  <c r="F75" i="29" s="1"/>
  <c r="G75" i="29" s="1"/>
  <c r="H75" i="29" s="1"/>
  <c r="I75" i="29" s="1"/>
  <c r="F74" i="29"/>
  <c r="G74" i="29" s="1"/>
  <c r="H74" i="29" s="1"/>
  <c r="I74" i="29" s="1"/>
  <c r="E74" i="29"/>
  <c r="G71" i="29"/>
  <c r="H71" i="29" s="1"/>
  <c r="I71" i="29" s="1"/>
  <c r="G72" i="29"/>
  <c r="H72" i="29"/>
  <c r="I72" i="29" s="1"/>
  <c r="E72" i="29"/>
  <c r="F72" i="29" s="1"/>
  <c r="E71" i="29"/>
  <c r="F71" i="29" s="1"/>
  <c r="I29" i="29"/>
  <c r="H29" i="29"/>
  <c r="G29" i="29"/>
  <c r="F29" i="29"/>
  <c r="I28" i="29"/>
  <c r="H28" i="29"/>
  <c r="G28" i="29"/>
  <c r="F28" i="29"/>
  <c r="I27" i="29"/>
  <c r="H27" i="29"/>
  <c r="G27" i="29"/>
  <c r="F27" i="29"/>
  <c r="I26" i="29"/>
  <c r="H26" i="29"/>
  <c r="G26" i="29"/>
  <c r="F26" i="29"/>
  <c r="I25" i="29"/>
  <c r="H25" i="29"/>
  <c r="G25" i="29"/>
  <c r="F25" i="29"/>
  <c r="I24" i="29"/>
  <c r="H24" i="29"/>
  <c r="G24" i="29"/>
  <c r="F24" i="29"/>
  <c r="F53" i="29"/>
  <c r="G53" i="29" s="1"/>
  <c r="H53" i="29" s="1"/>
  <c r="I53" i="29" s="1"/>
  <c r="F52" i="29"/>
  <c r="G52" i="29" s="1"/>
  <c r="H52" i="29" s="1"/>
  <c r="I52" i="29" s="1"/>
  <c r="F51" i="29"/>
  <c r="G51" i="29" s="1"/>
  <c r="H51" i="29" s="1"/>
  <c r="I51" i="29" s="1"/>
  <c r="F50" i="29"/>
  <c r="G50" i="29" s="1"/>
  <c r="H50" i="29" s="1"/>
  <c r="I50" i="29" s="1"/>
  <c r="F49" i="29"/>
  <c r="G49" i="29" s="1"/>
  <c r="H49" i="29" s="1"/>
  <c r="I49" i="29" s="1"/>
  <c r="F47" i="29"/>
  <c r="G47" i="29" s="1"/>
  <c r="H47" i="29" s="1"/>
  <c r="I47" i="29" s="1"/>
  <c r="F46" i="29"/>
  <c r="G46" i="29" s="1"/>
  <c r="H46" i="29" s="1"/>
  <c r="I46" i="29" s="1"/>
  <c r="F45" i="29"/>
  <c r="G45" i="29" s="1"/>
  <c r="H45" i="29" s="1"/>
  <c r="I45" i="29" s="1"/>
  <c r="F44" i="29"/>
  <c r="G44" i="29" s="1"/>
  <c r="H44" i="29" s="1"/>
  <c r="I44" i="29" s="1"/>
  <c r="F43" i="29"/>
  <c r="G43" i="29" s="1"/>
  <c r="H43" i="29" s="1"/>
  <c r="I43" i="29" s="1"/>
  <c r="F42" i="29"/>
  <c r="G42" i="29" s="1"/>
  <c r="H42" i="29" s="1"/>
  <c r="I42" i="29" s="1"/>
  <c r="F41" i="29"/>
  <c r="G41" i="29" s="1"/>
  <c r="H41" i="29" s="1"/>
  <c r="I41" i="29" s="1"/>
  <c r="F40" i="29"/>
  <c r="G40" i="29" s="1"/>
  <c r="H40" i="29" s="1"/>
  <c r="I40" i="29" s="1"/>
  <c r="F38" i="29"/>
  <c r="G38" i="29" s="1"/>
  <c r="H38" i="29" s="1"/>
  <c r="I38" i="29" s="1"/>
  <c r="F37" i="29"/>
  <c r="G37" i="29" s="1"/>
  <c r="H37" i="29" s="1"/>
  <c r="I37" i="29" s="1"/>
  <c r="F36" i="29"/>
  <c r="G36" i="29" s="1"/>
  <c r="H36" i="29" s="1"/>
  <c r="I36" i="29" s="1"/>
  <c r="F35" i="29"/>
  <c r="G35" i="29" s="1"/>
  <c r="H35" i="29" s="1"/>
  <c r="I35" i="29" s="1"/>
  <c r="F34" i="29"/>
  <c r="G34" i="29" s="1"/>
  <c r="H34" i="29" s="1"/>
  <c r="I34" i="29" s="1"/>
  <c r="F33" i="29"/>
  <c r="G33" i="29" s="1"/>
  <c r="H33" i="29" s="1"/>
  <c r="I33" i="29" s="1"/>
  <c r="F32" i="29"/>
  <c r="G32" i="29" s="1"/>
  <c r="H32" i="29" s="1"/>
  <c r="I32" i="29" s="1"/>
  <c r="F31" i="29"/>
  <c r="G31" i="29" s="1"/>
  <c r="H31" i="29" s="1"/>
  <c r="I31" i="29" s="1"/>
  <c r="I22" i="33"/>
  <c r="H22" i="33"/>
  <c r="G22" i="33"/>
  <c r="F22" i="33"/>
  <c r="E22" i="33"/>
  <c r="D22" i="33"/>
  <c r="C22" i="33"/>
  <c r="I21" i="33"/>
  <c r="H21" i="33"/>
  <c r="G21" i="33"/>
  <c r="F21" i="33"/>
  <c r="E21" i="33"/>
  <c r="D21" i="33"/>
  <c r="C21" i="33"/>
  <c r="I20" i="33"/>
  <c r="H20" i="33"/>
  <c r="G20" i="33"/>
  <c r="F20" i="33"/>
  <c r="I19" i="33"/>
  <c r="H19" i="33"/>
  <c r="G19" i="33"/>
  <c r="F19" i="33"/>
  <c r="C19" i="33"/>
  <c r="I18" i="33"/>
  <c r="H18" i="33"/>
  <c r="G18" i="33"/>
  <c r="F18" i="33"/>
  <c r="E18" i="33"/>
  <c r="D18" i="33"/>
  <c r="C18" i="33"/>
  <c r="I17" i="33"/>
  <c r="H17" i="33"/>
  <c r="G17" i="33"/>
  <c r="F17" i="33"/>
  <c r="I16" i="33"/>
  <c r="H16" i="33"/>
  <c r="G16" i="33"/>
  <c r="F16" i="33"/>
  <c r="C16" i="33"/>
  <c r="H12" i="33"/>
  <c r="G12" i="33"/>
  <c r="F12" i="33"/>
  <c r="E12" i="33"/>
  <c r="D12" i="33"/>
  <c r="C12" i="33"/>
  <c r="H11" i="33"/>
  <c r="G11" i="33"/>
  <c r="F11" i="33"/>
  <c r="E11" i="33"/>
  <c r="D11" i="33"/>
  <c r="C11" i="33"/>
  <c r="H10" i="33"/>
  <c r="G10" i="33"/>
  <c r="F10" i="33"/>
  <c r="E10" i="33"/>
  <c r="H9" i="33"/>
  <c r="G9" i="33"/>
  <c r="F9" i="33"/>
  <c r="E9" i="33"/>
  <c r="C9" i="33"/>
  <c r="H8" i="33"/>
  <c r="G8" i="33"/>
  <c r="F8" i="33"/>
  <c r="E8" i="33"/>
  <c r="D8" i="33"/>
  <c r="C8" i="33"/>
  <c r="H7" i="33"/>
  <c r="G7" i="33"/>
  <c r="F7" i="33"/>
  <c r="E7" i="33"/>
  <c r="H6" i="33"/>
  <c r="G6" i="33"/>
  <c r="F6" i="33"/>
  <c r="E6" i="33"/>
  <c r="C6" i="33"/>
  <c r="J136" i="32"/>
  <c r="I136" i="32"/>
  <c r="H136" i="32"/>
  <c r="G136" i="32"/>
  <c r="F136" i="32"/>
  <c r="E136" i="32"/>
  <c r="D136" i="32"/>
  <c r="J135" i="32"/>
  <c r="I135" i="32"/>
  <c r="H135" i="32"/>
  <c r="G135" i="32"/>
  <c r="F135" i="32"/>
  <c r="E135" i="32"/>
  <c r="D135" i="32"/>
  <c r="J134" i="32"/>
  <c r="I134" i="32"/>
  <c r="H134" i="32"/>
  <c r="G134" i="32"/>
  <c r="F134" i="32"/>
  <c r="E134" i="32"/>
  <c r="D134" i="32"/>
  <c r="J133" i="32"/>
  <c r="I133" i="32"/>
  <c r="H133" i="32"/>
  <c r="G133" i="32"/>
  <c r="F133" i="32"/>
  <c r="E133" i="32"/>
  <c r="D133" i="32"/>
  <c r="J132" i="32"/>
  <c r="I132" i="32"/>
  <c r="H132" i="32"/>
  <c r="G132" i="32"/>
  <c r="F132" i="32"/>
  <c r="E132" i="32"/>
  <c r="D132" i="32"/>
  <c r="J131" i="32"/>
  <c r="I131" i="32"/>
  <c r="H131" i="32"/>
  <c r="G131" i="32"/>
  <c r="F131" i="32"/>
  <c r="E131" i="32"/>
  <c r="D131" i="32"/>
  <c r="J130" i="32"/>
  <c r="I130" i="32"/>
  <c r="H130" i="32"/>
  <c r="G130" i="32"/>
  <c r="F130" i="32"/>
  <c r="E130" i="32"/>
  <c r="D130" i="32"/>
  <c r="J129" i="32"/>
  <c r="I129" i="32"/>
  <c r="H129" i="32"/>
  <c r="G129" i="32"/>
  <c r="F129" i="32"/>
  <c r="E129" i="32"/>
  <c r="D129" i="32"/>
  <c r="J128" i="32"/>
  <c r="I128" i="32"/>
  <c r="H128" i="32"/>
  <c r="G128" i="32"/>
  <c r="F128" i="32"/>
  <c r="E128" i="32"/>
  <c r="D128" i="32"/>
  <c r="J127" i="32"/>
  <c r="I127" i="32"/>
  <c r="H127" i="32"/>
  <c r="G127" i="32"/>
  <c r="F127" i="32"/>
  <c r="E127" i="32"/>
  <c r="D127" i="32"/>
  <c r="J126" i="32"/>
  <c r="I126" i="32"/>
  <c r="H126" i="32"/>
  <c r="G126" i="32"/>
  <c r="F126" i="32"/>
  <c r="E126" i="32"/>
  <c r="D126" i="32"/>
  <c r="J125" i="32"/>
  <c r="I125" i="32"/>
  <c r="H125" i="32"/>
  <c r="G125" i="32"/>
  <c r="F125" i="32"/>
  <c r="E125" i="32"/>
  <c r="D125" i="32"/>
  <c r="J124" i="32"/>
  <c r="I124" i="32"/>
  <c r="H124" i="32"/>
  <c r="G124" i="32"/>
  <c r="F124" i="32"/>
  <c r="E124" i="32"/>
  <c r="D124" i="32"/>
  <c r="J123" i="32"/>
  <c r="I123" i="32"/>
  <c r="H123" i="32"/>
  <c r="G123" i="32"/>
  <c r="F123" i="32"/>
  <c r="E123" i="32"/>
  <c r="D123" i="32"/>
  <c r="J122" i="32"/>
  <c r="I122" i="32"/>
  <c r="H122" i="32"/>
  <c r="G122" i="32"/>
  <c r="F122" i="32"/>
  <c r="E122" i="32"/>
  <c r="D122" i="32"/>
  <c r="J121" i="32"/>
  <c r="I121" i="32"/>
  <c r="H121" i="32"/>
  <c r="G121" i="32"/>
  <c r="F121" i="32"/>
  <c r="E121" i="32"/>
  <c r="D121" i="32"/>
  <c r="J120" i="32"/>
  <c r="I120" i="32"/>
  <c r="H120" i="32"/>
  <c r="G120" i="32"/>
  <c r="F120" i="32"/>
  <c r="E120" i="32"/>
  <c r="D120" i="32"/>
  <c r="J119" i="32"/>
  <c r="I119" i="32"/>
  <c r="H119" i="32"/>
  <c r="G119" i="32"/>
  <c r="F119" i="32"/>
  <c r="E119" i="32"/>
  <c r="D119" i="32"/>
  <c r="J118" i="32"/>
  <c r="I118" i="32"/>
  <c r="H118" i="32"/>
  <c r="G118" i="32"/>
  <c r="F118" i="32"/>
  <c r="E118" i="32"/>
  <c r="D118" i="32"/>
  <c r="J117" i="32"/>
  <c r="I117" i="32"/>
  <c r="H117" i="32"/>
  <c r="G117" i="32"/>
  <c r="F117" i="32"/>
  <c r="E117" i="32"/>
  <c r="D117" i="32"/>
  <c r="J116" i="32"/>
  <c r="I116" i="32"/>
  <c r="H116" i="32"/>
  <c r="G116" i="32"/>
  <c r="F116" i="32"/>
  <c r="E116" i="32"/>
  <c r="D116" i="32"/>
  <c r="J115" i="32"/>
  <c r="I115" i="32"/>
  <c r="H115" i="32"/>
  <c r="G115" i="32"/>
  <c r="F115" i="32"/>
  <c r="E115" i="32"/>
  <c r="D115" i="32"/>
  <c r="J114" i="32"/>
  <c r="I114" i="32"/>
  <c r="H114" i="32"/>
  <c r="G114" i="32"/>
  <c r="F114" i="32"/>
  <c r="E114" i="32"/>
  <c r="D114" i="32"/>
  <c r="J113" i="32"/>
  <c r="I113" i="32"/>
  <c r="H113" i="32"/>
  <c r="G113" i="32"/>
  <c r="F113" i="32"/>
  <c r="E113" i="32"/>
  <c r="D113" i="32"/>
  <c r="J112" i="32"/>
  <c r="I112" i="32"/>
  <c r="H112" i="32"/>
  <c r="G112" i="32"/>
  <c r="F112" i="32"/>
  <c r="E112" i="32"/>
  <c r="D112" i="32"/>
  <c r="J111" i="32"/>
  <c r="I111" i="32"/>
  <c r="H111" i="32"/>
  <c r="G111" i="32"/>
  <c r="F111" i="32"/>
  <c r="E111" i="32"/>
  <c r="D111" i="32"/>
  <c r="J110" i="32"/>
  <c r="I110" i="32"/>
  <c r="H110" i="32"/>
  <c r="G110" i="32"/>
  <c r="F110" i="32"/>
  <c r="E110" i="32"/>
  <c r="D110" i="32"/>
  <c r="J109" i="32"/>
  <c r="I109" i="32"/>
  <c r="H109" i="32"/>
  <c r="G109" i="32"/>
  <c r="F109" i="32"/>
  <c r="E109" i="32"/>
  <c r="D109" i="32"/>
  <c r="J108" i="32"/>
  <c r="I108" i="32"/>
  <c r="H108" i="32"/>
  <c r="G108" i="32"/>
  <c r="F108" i="32"/>
  <c r="E108" i="32"/>
  <c r="D108" i="32"/>
  <c r="J107" i="32"/>
  <c r="I107" i="32"/>
  <c r="H107" i="32"/>
  <c r="G107" i="32"/>
  <c r="F107" i="32"/>
  <c r="E107" i="32"/>
  <c r="D107" i="32"/>
  <c r="J106" i="32"/>
  <c r="I106" i="32"/>
  <c r="H106" i="32"/>
  <c r="G106" i="32"/>
  <c r="F106" i="32"/>
  <c r="E106" i="32"/>
  <c r="D106" i="32"/>
  <c r="J105" i="32"/>
  <c r="I105" i="32"/>
  <c r="H105" i="32"/>
  <c r="G105" i="32"/>
  <c r="F105" i="32"/>
  <c r="E105" i="32"/>
  <c r="D105" i="32"/>
  <c r="J104" i="32"/>
  <c r="I104" i="32"/>
  <c r="H104" i="32"/>
  <c r="G104" i="32"/>
  <c r="F104" i="32"/>
  <c r="E104" i="32"/>
  <c r="D104" i="32"/>
  <c r="J103" i="32"/>
  <c r="I103" i="32"/>
  <c r="H103" i="32"/>
  <c r="G103" i="32"/>
  <c r="F103" i="32"/>
  <c r="E103" i="32"/>
  <c r="D103" i="32"/>
  <c r="J102" i="32"/>
  <c r="I102" i="32"/>
  <c r="H102" i="32"/>
  <c r="G102" i="32"/>
  <c r="F102" i="32"/>
  <c r="E102" i="32"/>
  <c r="D102" i="32"/>
  <c r="J101" i="32"/>
  <c r="I101" i="32"/>
  <c r="H101" i="32"/>
  <c r="G101" i="32"/>
  <c r="F101" i="32"/>
  <c r="E101" i="32"/>
  <c r="D101" i="32"/>
  <c r="J100" i="32"/>
  <c r="I100" i="32"/>
  <c r="H100" i="32"/>
  <c r="G100" i="32"/>
  <c r="F100" i="32"/>
  <c r="E100" i="32"/>
  <c r="D100" i="32"/>
  <c r="J99" i="32"/>
  <c r="I99" i="32"/>
  <c r="H99" i="32"/>
  <c r="G99" i="32"/>
  <c r="F99" i="32"/>
  <c r="E99" i="32"/>
  <c r="D99" i="32"/>
  <c r="J98" i="32"/>
  <c r="I98" i="32"/>
  <c r="H98" i="32"/>
  <c r="G98" i="32"/>
  <c r="F98" i="32"/>
  <c r="E98" i="32"/>
  <c r="D98" i="32"/>
  <c r="J97" i="32"/>
  <c r="I97" i="32"/>
  <c r="H97" i="32"/>
  <c r="G97" i="32"/>
  <c r="F97" i="32"/>
  <c r="E97" i="32"/>
  <c r="D97" i="32"/>
  <c r="J96" i="32"/>
  <c r="I96" i="32"/>
  <c r="H96" i="32"/>
  <c r="G96" i="32"/>
  <c r="F96" i="32"/>
  <c r="E96" i="32"/>
  <c r="D96" i="32"/>
  <c r="J95" i="32"/>
  <c r="I95" i="32"/>
  <c r="H95" i="32"/>
  <c r="G95" i="32"/>
  <c r="F95" i="32"/>
  <c r="E95" i="32"/>
  <c r="D95" i="32"/>
  <c r="J94" i="32"/>
  <c r="I94" i="32"/>
  <c r="H94" i="32"/>
  <c r="G94" i="32"/>
  <c r="F94" i="32"/>
  <c r="E94" i="32"/>
  <c r="D94" i="32"/>
  <c r="J93" i="32"/>
  <c r="I93" i="32"/>
  <c r="H93" i="32"/>
  <c r="G93" i="32"/>
  <c r="F93" i="32"/>
  <c r="E93" i="32"/>
  <c r="D93" i="32"/>
  <c r="J92" i="32"/>
  <c r="I92" i="32"/>
  <c r="H92" i="32"/>
  <c r="G92" i="32"/>
  <c r="F92" i="32"/>
  <c r="E92" i="32"/>
  <c r="D92" i="32"/>
  <c r="J91" i="32"/>
  <c r="I91" i="32"/>
  <c r="H91" i="32"/>
  <c r="G91" i="32"/>
  <c r="F91" i="32"/>
  <c r="E91" i="32"/>
  <c r="D91" i="32"/>
  <c r="J90" i="32"/>
  <c r="I90" i="32"/>
  <c r="H90" i="32"/>
  <c r="G90" i="32"/>
  <c r="F90" i="32"/>
  <c r="E90" i="32"/>
  <c r="D90" i="32"/>
  <c r="J89" i="32"/>
  <c r="I89" i="32"/>
  <c r="H89" i="32"/>
  <c r="G89" i="32"/>
  <c r="F89" i="32"/>
  <c r="E89" i="32"/>
  <c r="D89" i="32"/>
  <c r="J88" i="32"/>
  <c r="I88" i="32"/>
  <c r="H88" i="32"/>
  <c r="G88" i="32"/>
  <c r="F88" i="32"/>
  <c r="E88" i="32"/>
  <c r="D88" i="32"/>
  <c r="J87" i="32"/>
  <c r="I87" i="32"/>
  <c r="H87" i="32"/>
  <c r="G87" i="32"/>
  <c r="F87" i="32"/>
  <c r="E87" i="32"/>
  <c r="D87" i="32"/>
  <c r="J86" i="32"/>
  <c r="I86" i="32"/>
  <c r="H86" i="32"/>
  <c r="G86" i="32"/>
  <c r="F86" i="32"/>
  <c r="E86" i="32"/>
  <c r="D86" i="32"/>
  <c r="J85" i="32"/>
  <c r="I85" i="32"/>
  <c r="H85" i="32"/>
  <c r="G85" i="32"/>
  <c r="F85" i="32"/>
  <c r="E85" i="32"/>
  <c r="D85" i="32"/>
  <c r="J84" i="32"/>
  <c r="I84" i="32"/>
  <c r="H84" i="32"/>
  <c r="G84" i="32"/>
  <c r="F84" i="32"/>
  <c r="E84" i="32"/>
  <c r="D84" i="32"/>
  <c r="J83" i="32"/>
  <c r="I83" i="32"/>
  <c r="H83" i="32"/>
  <c r="G83" i="32"/>
  <c r="F83" i="32"/>
  <c r="E83" i="32"/>
  <c r="D83" i="32"/>
  <c r="J82" i="32"/>
  <c r="I82" i="32"/>
  <c r="H82" i="32"/>
  <c r="G82" i="32"/>
  <c r="F82" i="32"/>
  <c r="E82" i="32"/>
  <c r="D82" i="32"/>
  <c r="J81" i="32"/>
  <c r="I81" i="32"/>
  <c r="H81" i="32"/>
  <c r="G81" i="32"/>
  <c r="F81" i="32"/>
  <c r="E81" i="32"/>
  <c r="D81" i="32"/>
  <c r="J80" i="32"/>
  <c r="I80" i="32"/>
  <c r="H80" i="32"/>
  <c r="G80" i="32"/>
  <c r="F80" i="32"/>
  <c r="E80" i="32"/>
  <c r="D80" i="32"/>
  <c r="J79" i="32"/>
  <c r="I79" i="32"/>
  <c r="H79" i="32"/>
  <c r="G79" i="32"/>
  <c r="F79" i="32"/>
  <c r="E79" i="32"/>
  <c r="D79" i="32"/>
  <c r="J78" i="32"/>
  <c r="I78" i="32"/>
  <c r="H78" i="32"/>
  <c r="G78" i="32"/>
  <c r="F78" i="32"/>
  <c r="E78" i="32"/>
  <c r="D78" i="32"/>
  <c r="J77" i="32"/>
  <c r="I77" i="32"/>
  <c r="H77" i="32"/>
  <c r="G77" i="32"/>
  <c r="F77" i="32"/>
  <c r="E77" i="32"/>
  <c r="D77" i="32"/>
  <c r="J76" i="32"/>
  <c r="I76" i="32"/>
  <c r="H76" i="32"/>
  <c r="G76" i="32"/>
  <c r="F76" i="32"/>
  <c r="E76" i="32"/>
  <c r="D76" i="32"/>
  <c r="J75" i="32"/>
  <c r="I75" i="32"/>
  <c r="H75" i="32"/>
  <c r="G75" i="32"/>
  <c r="F75" i="32"/>
  <c r="E75" i="32"/>
  <c r="D75" i="32"/>
  <c r="J74" i="32"/>
  <c r="I74" i="32"/>
  <c r="H74" i="32"/>
  <c r="G74" i="32"/>
  <c r="F74" i="32"/>
  <c r="E74" i="32"/>
  <c r="D74" i="32"/>
  <c r="J73" i="32"/>
  <c r="I73" i="32"/>
  <c r="H73" i="32"/>
  <c r="G73" i="32"/>
  <c r="F73" i="32"/>
  <c r="E73" i="32"/>
  <c r="D73" i="32"/>
  <c r="J72" i="32"/>
  <c r="I72" i="32"/>
  <c r="H72" i="32"/>
  <c r="G72" i="32"/>
  <c r="F72" i="32"/>
  <c r="E72" i="32"/>
  <c r="D72" i="32"/>
  <c r="J71" i="32"/>
  <c r="I71" i="32"/>
  <c r="H71" i="32"/>
  <c r="G71" i="32"/>
  <c r="F71" i="32"/>
  <c r="E71" i="32"/>
  <c r="D71" i="32"/>
  <c r="J70" i="32"/>
  <c r="I70" i="32"/>
  <c r="H70" i="32"/>
  <c r="G70" i="32"/>
  <c r="F70" i="32"/>
  <c r="E70" i="32"/>
  <c r="D70" i="32"/>
  <c r="J69" i="32"/>
  <c r="I69" i="32"/>
  <c r="H69" i="32"/>
  <c r="G69" i="32"/>
  <c r="F69" i="32"/>
  <c r="E69" i="32"/>
  <c r="D69" i="32"/>
  <c r="J68" i="32"/>
  <c r="I68" i="32"/>
  <c r="H68" i="32"/>
  <c r="G68" i="32"/>
  <c r="F68" i="32"/>
  <c r="E68" i="32"/>
  <c r="D68" i="32"/>
  <c r="J67" i="32"/>
  <c r="I67" i="32"/>
  <c r="H67" i="32"/>
  <c r="G67" i="32"/>
  <c r="F67" i="32"/>
  <c r="E67" i="32"/>
  <c r="D67" i="32"/>
  <c r="J66" i="32"/>
  <c r="I66" i="32"/>
  <c r="H66" i="32"/>
  <c r="G66" i="32"/>
  <c r="F66" i="32"/>
  <c r="E66" i="32"/>
  <c r="D66" i="32"/>
  <c r="J65" i="32"/>
  <c r="I65" i="32"/>
  <c r="H65" i="32"/>
  <c r="G65" i="32"/>
  <c r="F65" i="32"/>
  <c r="E65" i="32"/>
  <c r="D65" i="32"/>
  <c r="J64" i="32"/>
  <c r="I64" i="32"/>
  <c r="H64" i="32"/>
  <c r="G64" i="32"/>
  <c r="F64" i="32"/>
  <c r="E64" i="32"/>
  <c r="D64" i="32"/>
  <c r="J63" i="32"/>
  <c r="I63" i="32"/>
  <c r="H63" i="32"/>
  <c r="G63" i="32"/>
  <c r="F63" i="32"/>
  <c r="E63" i="32"/>
  <c r="D63" i="32"/>
  <c r="J62" i="32"/>
  <c r="I62" i="32"/>
  <c r="H62" i="32"/>
  <c r="G62" i="32"/>
  <c r="F62" i="32"/>
  <c r="E62" i="32"/>
  <c r="D62" i="32"/>
  <c r="J61" i="32"/>
  <c r="I61" i="32"/>
  <c r="H61" i="32"/>
  <c r="G61" i="32"/>
  <c r="F61" i="32"/>
  <c r="E61" i="32"/>
  <c r="D61" i="32"/>
  <c r="J60" i="32"/>
  <c r="I60" i="32"/>
  <c r="H60" i="32"/>
  <c r="G60" i="32"/>
  <c r="F60" i="32"/>
  <c r="E60" i="32"/>
  <c r="D60" i="32"/>
  <c r="J59" i="32"/>
  <c r="I59" i="32"/>
  <c r="H59" i="32"/>
  <c r="G59" i="32"/>
  <c r="F59" i="32"/>
  <c r="E59" i="32"/>
  <c r="D59" i="32"/>
  <c r="J58" i="32"/>
  <c r="I58" i="32"/>
  <c r="H58" i="32"/>
  <c r="G58" i="32"/>
  <c r="F58" i="32"/>
  <c r="E58" i="32"/>
  <c r="D58" i="32"/>
  <c r="J57" i="32"/>
  <c r="I57" i="32"/>
  <c r="H57" i="32"/>
  <c r="G57" i="32"/>
  <c r="F57" i="32"/>
  <c r="E57" i="32"/>
  <c r="D57" i="32"/>
  <c r="J56" i="32"/>
  <c r="I56" i="32"/>
  <c r="H56" i="32"/>
  <c r="G56" i="32"/>
  <c r="F56" i="32"/>
  <c r="E56" i="32"/>
  <c r="D56" i="32"/>
  <c r="J55" i="32"/>
  <c r="I55" i="32"/>
  <c r="H55" i="32"/>
  <c r="G55" i="32"/>
  <c r="F55" i="32"/>
  <c r="E55" i="32"/>
  <c r="D55" i="32"/>
  <c r="J54" i="32"/>
  <c r="I54" i="32"/>
  <c r="H54" i="32"/>
  <c r="G54" i="32"/>
  <c r="F54" i="32"/>
  <c r="E54" i="32"/>
  <c r="D54" i="32"/>
  <c r="J53" i="32"/>
  <c r="I53" i="32"/>
  <c r="H53" i="32"/>
  <c r="G53" i="32"/>
  <c r="F53" i="32"/>
  <c r="E53" i="32"/>
  <c r="D53" i="32"/>
  <c r="J52" i="32"/>
  <c r="I52" i="32"/>
  <c r="H52" i="32"/>
  <c r="G52" i="32"/>
  <c r="F52" i="32"/>
  <c r="E52" i="32"/>
  <c r="D52" i="32"/>
  <c r="J51" i="32"/>
  <c r="I51" i="32"/>
  <c r="H51" i="32"/>
  <c r="G51" i="32"/>
  <c r="F51" i="32"/>
  <c r="E51" i="32"/>
  <c r="D51" i="32"/>
  <c r="J50" i="32"/>
  <c r="I50" i="32"/>
  <c r="H50" i="32"/>
  <c r="G50" i="32"/>
  <c r="F50" i="32"/>
  <c r="E50" i="32"/>
  <c r="D50" i="32"/>
  <c r="J49" i="32"/>
  <c r="I49" i="32"/>
  <c r="H49" i="32"/>
  <c r="G49" i="32"/>
  <c r="F49" i="32"/>
  <c r="E49" i="32"/>
  <c r="D49" i="32"/>
  <c r="J48" i="32"/>
  <c r="I48" i="32"/>
  <c r="H48" i="32"/>
  <c r="G48" i="32"/>
  <c r="F48" i="32"/>
  <c r="E48" i="32"/>
  <c r="D48" i="32"/>
  <c r="J47" i="32"/>
  <c r="I47" i="32"/>
  <c r="H47" i="32"/>
  <c r="G47" i="32"/>
  <c r="F47" i="32"/>
  <c r="E47" i="32"/>
  <c r="D47" i="32"/>
  <c r="J46" i="32"/>
  <c r="I46" i="32"/>
  <c r="H46" i="32"/>
  <c r="G46" i="32"/>
  <c r="F46" i="32"/>
  <c r="E46" i="32"/>
  <c r="D46" i="32"/>
  <c r="J45" i="32"/>
  <c r="I45" i="32"/>
  <c r="H45" i="32"/>
  <c r="G45" i="32"/>
  <c r="F45" i="32"/>
  <c r="E45" i="32"/>
  <c r="D45" i="32"/>
  <c r="J44" i="32"/>
  <c r="I44" i="32"/>
  <c r="H44" i="32"/>
  <c r="G44" i="32"/>
  <c r="F44" i="32"/>
  <c r="E44" i="32"/>
  <c r="D44" i="32"/>
  <c r="J43" i="32"/>
  <c r="I43" i="32"/>
  <c r="H43" i="32"/>
  <c r="G43" i="32"/>
  <c r="F43" i="32"/>
  <c r="E43" i="32"/>
  <c r="D43" i="32"/>
  <c r="J42" i="32"/>
  <c r="I42" i="32"/>
  <c r="H42" i="32"/>
  <c r="G42" i="32"/>
  <c r="F42" i="32"/>
  <c r="E42" i="32"/>
  <c r="D42" i="32"/>
  <c r="J41" i="32"/>
  <c r="I41" i="32"/>
  <c r="H41" i="32"/>
  <c r="G41" i="32"/>
  <c r="F41" i="32"/>
  <c r="E41" i="32"/>
  <c r="D41" i="32"/>
  <c r="J40" i="32"/>
  <c r="I40" i="32"/>
  <c r="H40" i="32"/>
  <c r="G40" i="32"/>
  <c r="F40" i="32"/>
  <c r="E40" i="32"/>
  <c r="D40" i="32"/>
  <c r="J39" i="32"/>
  <c r="I39" i="32"/>
  <c r="H39" i="32"/>
  <c r="G39" i="32"/>
  <c r="F39" i="32"/>
  <c r="E39" i="32"/>
  <c r="D39" i="32"/>
  <c r="J38" i="32"/>
  <c r="I38" i="32"/>
  <c r="H38" i="32"/>
  <c r="G38" i="32"/>
  <c r="F38" i="32"/>
  <c r="E38" i="32"/>
  <c r="D38" i="32"/>
  <c r="J37" i="32"/>
  <c r="I37" i="32"/>
  <c r="H37" i="32"/>
  <c r="G37" i="32"/>
  <c r="F37" i="32"/>
  <c r="E37" i="32"/>
  <c r="D37" i="32"/>
  <c r="J36" i="32"/>
  <c r="I36" i="32"/>
  <c r="H36" i="32"/>
  <c r="G36" i="32"/>
  <c r="F36" i="32"/>
  <c r="E36" i="32"/>
  <c r="D36" i="32"/>
  <c r="J35" i="32"/>
  <c r="I35" i="32"/>
  <c r="H35" i="32"/>
  <c r="G35" i="32"/>
  <c r="F35" i="32"/>
  <c r="E35" i="32"/>
  <c r="D35" i="32"/>
  <c r="J34" i="32"/>
  <c r="I34" i="32"/>
  <c r="H34" i="32"/>
  <c r="G34" i="32"/>
  <c r="F34" i="32"/>
  <c r="E34" i="32"/>
  <c r="D34" i="32"/>
  <c r="J33" i="32"/>
  <c r="I33" i="32"/>
  <c r="H33" i="32"/>
  <c r="G33" i="32"/>
  <c r="F33" i="32"/>
  <c r="E33" i="32"/>
  <c r="D33" i="32"/>
  <c r="J32" i="32"/>
  <c r="I32" i="32"/>
  <c r="H32" i="32"/>
  <c r="G32" i="32"/>
  <c r="F32" i="32"/>
  <c r="E32" i="32"/>
  <c r="D32" i="32"/>
  <c r="J31" i="32"/>
  <c r="I31" i="32"/>
  <c r="H31" i="32"/>
  <c r="G31" i="32"/>
  <c r="F31" i="32"/>
  <c r="E31" i="32"/>
  <c r="D31" i="32"/>
  <c r="J30" i="32"/>
  <c r="I30" i="32"/>
  <c r="H30" i="32"/>
  <c r="G30" i="32"/>
  <c r="F30" i="32"/>
  <c r="E30" i="32"/>
  <c r="D30" i="32"/>
  <c r="J29" i="32"/>
  <c r="I29" i="32"/>
  <c r="H29" i="32"/>
  <c r="G29" i="32"/>
  <c r="F29" i="32"/>
  <c r="E29" i="32"/>
  <c r="D29" i="32"/>
  <c r="G43" i="31"/>
  <c r="F43" i="31"/>
  <c r="E43" i="31"/>
  <c r="D43" i="31"/>
  <c r="C43" i="31"/>
  <c r="G42" i="31"/>
  <c r="F42" i="31"/>
  <c r="E42" i="31"/>
  <c r="D42" i="31"/>
  <c r="C42" i="31"/>
  <c r="G41" i="31"/>
  <c r="F41" i="31"/>
  <c r="E41" i="31"/>
  <c r="D41" i="31"/>
  <c r="C41" i="31"/>
  <c r="G40" i="31"/>
  <c r="F40" i="31"/>
  <c r="E40" i="31"/>
  <c r="D40" i="31"/>
  <c r="C40" i="31"/>
  <c r="G39" i="31"/>
  <c r="F39" i="31"/>
  <c r="E39" i="31"/>
  <c r="D39" i="31"/>
  <c r="C39" i="31"/>
  <c r="G38" i="31"/>
  <c r="F38" i="31"/>
  <c r="E38" i="31"/>
  <c r="D38" i="31"/>
  <c r="C38" i="31"/>
  <c r="J33" i="31"/>
  <c r="I33" i="31"/>
  <c r="H33" i="31"/>
  <c r="G33" i="31"/>
  <c r="F33" i="31"/>
  <c r="E33" i="31"/>
  <c r="D33" i="31"/>
  <c r="C33" i="31"/>
  <c r="J26" i="31"/>
  <c r="I26" i="31"/>
  <c r="H26" i="31"/>
  <c r="G26" i="31"/>
  <c r="F26" i="31"/>
  <c r="E26" i="31"/>
  <c r="D26" i="31"/>
  <c r="C26" i="31"/>
  <c r="J25" i="31"/>
  <c r="I25" i="31"/>
  <c r="H25" i="31"/>
  <c r="G25" i="31"/>
  <c r="F25" i="31"/>
  <c r="E25" i="31"/>
  <c r="D25" i="31"/>
  <c r="C25" i="31"/>
  <c r="J24" i="31"/>
  <c r="I24" i="31"/>
  <c r="H24" i="31"/>
  <c r="G24" i="31"/>
  <c r="F24" i="31"/>
  <c r="E24" i="31"/>
  <c r="D24" i="31"/>
  <c r="C24" i="31"/>
  <c r="J23" i="31"/>
  <c r="I23" i="31"/>
  <c r="H23" i="31"/>
  <c r="G23" i="31"/>
  <c r="F23" i="31"/>
  <c r="E23" i="31"/>
  <c r="D23" i="31"/>
  <c r="C23" i="31"/>
  <c r="J22" i="31"/>
  <c r="I22" i="31"/>
  <c r="H22" i="31"/>
  <c r="G22" i="31"/>
  <c r="F22" i="31"/>
  <c r="E22" i="31"/>
  <c r="D22" i="31"/>
  <c r="C22" i="31"/>
  <c r="J21" i="31"/>
  <c r="I21" i="31"/>
  <c r="H21" i="31"/>
  <c r="G21" i="31"/>
  <c r="F21" i="31"/>
  <c r="E21" i="31"/>
  <c r="D21" i="31"/>
  <c r="C21" i="31"/>
  <c r="J20" i="31"/>
  <c r="I20" i="31"/>
  <c r="H20" i="31"/>
  <c r="G20" i="31"/>
  <c r="F20" i="31"/>
  <c r="E20" i="31"/>
  <c r="D20" i="31"/>
  <c r="C20" i="31"/>
  <c r="J19" i="31"/>
  <c r="I19" i="31"/>
  <c r="H19" i="31"/>
  <c r="G19" i="31"/>
  <c r="F19" i="31"/>
  <c r="E19" i="31"/>
  <c r="D19" i="31"/>
  <c r="C19" i="31"/>
  <c r="J18" i="31"/>
  <c r="I18" i="31"/>
  <c r="H18" i="31"/>
  <c r="G18" i="31"/>
  <c r="F18" i="31"/>
  <c r="E18" i="31"/>
  <c r="D18" i="31"/>
  <c r="C18" i="31"/>
  <c r="J17" i="31"/>
  <c r="I17" i="31"/>
  <c r="H17" i="31"/>
  <c r="G17" i="31"/>
  <c r="F17" i="31"/>
  <c r="E17" i="31"/>
  <c r="D17" i="31"/>
  <c r="C17" i="31"/>
  <c r="J16" i="31"/>
  <c r="I16" i="31"/>
  <c r="H16" i="31"/>
  <c r="G16" i="31"/>
  <c r="F16" i="31"/>
  <c r="E16" i="31"/>
  <c r="D16" i="31"/>
  <c r="C16" i="31"/>
  <c r="J15" i="31"/>
  <c r="I15" i="31"/>
  <c r="H15" i="31"/>
  <c r="G15" i="31"/>
  <c r="F15" i="31"/>
  <c r="E15" i="31"/>
  <c r="D15" i="31"/>
  <c r="C15" i="31"/>
  <c r="J14" i="31"/>
  <c r="I14" i="31"/>
  <c r="H14" i="31"/>
  <c r="G14" i="31"/>
  <c r="F14" i="31"/>
  <c r="E14" i="31"/>
  <c r="D14" i="31"/>
  <c r="C14" i="31"/>
  <c r="J13" i="31"/>
  <c r="I13" i="31"/>
  <c r="H13" i="31"/>
  <c r="G13" i="31"/>
  <c r="F13" i="31"/>
  <c r="E13" i="31"/>
  <c r="D13" i="31"/>
  <c r="C13" i="31"/>
  <c r="J12" i="31"/>
  <c r="I12" i="31"/>
  <c r="H12" i="31"/>
  <c r="G12" i="31"/>
  <c r="F12" i="31"/>
  <c r="E12" i="31"/>
  <c r="D12" i="31"/>
  <c r="C12" i="31"/>
  <c r="J11" i="31"/>
  <c r="I11" i="31"/>
  <c r="H11" i="31"/>
  <c r="G11" i="31"/>
  <c r="F11" i="31"/>
  <c r="E11" i="31"/>
  <c r="D11" i="31"/>
  <c r="C11" i="31"/>
  <c r="J10" i="31"/>
  <c r="I10" i="31"/>
  <c r="H10" i="31"/>
  <c r="G10" i="31"/>
  <c r="F10" i="31"/>
  <c r="E10" i="31"/>
  <c r="D10" i="31"/>
  <c r="C10" i="31"/>
  <c r="J9" i="31"/>
  <c r="I9" i="31"/>
  <c r="H9" i="31"/>
  <c r="G9" i="31"/>
  <c r="F9" i="31"/>
  <c r="E9" i="31"/>
  <c r="D9" i="31"/>
  <c r="C9" i="31"/>
  <c r="J8" i="31"/>
  <c r="I8" i="31"/>
  <c r="H8" i="31"/>
  <c r="G8" i="31"/>
  <c r="F8" i="31"/>
  <c r="E8" i="31"/>
  <c r="D8" i="31"/>
  <c r="C8" i="31"/>
  <c r="J7" i="31"/>
  <c r="I7" i="31"/>
  <c r="H7" i="31"/>
  <c r="G7" i="31"/>
  <c r="F7" i="31"/>
  <c r="E7" i="31"/>
  <c r="D7" i="31"/>
  <c r="C7" i="31"/>
  <c r="M123" i="30"/>
  <c r="L123" i="30"/>
  <c r="K123" i="30"/>
  <c r="J123" i="30"/>
  <c r="I123" i="30"/>
  <c r="H123" i="30"/>
  <c r="G123" i="30"/>
  <c r="F123" i="30"/>
  <c r="E123" i="30"/>
  <c r="D123" i="30"/>
  <c r="C123" i="30"/>
  <c r="B123" i="30"/>
  <c r="M122" i="30"/>
  <c r="L122" i="30"/>
  <c r="K122" i="30"/>
  <c r="J122" i="30"/>
  <c r="I122" i="30"/>
  <c r="H122" i="30"/>
  <c r="G122" i="30"/>
  <c r="F122" i="30"/>
  <c r="E122" i="30"/>
  <c r="D122" i="30"/>
  <c r="C122" i="30"/>
  <c r="B122" i="30"/>
  <c r="M121" i="30"/>
  <c r="L121" i="30"/>
  <c r="K121" i="30"/>
  <c r="J121" i="30"/>
  <c r="I121" i="30"/>
  <c r="H121" i="30"/>
  <c r="G121" i="30"/>
  <c r="F121" i="30"/>
  <c r="E121" i="30"/>
  <c r="D121" i="30"/>
  <c r="C121" i="30"/>
  <c r="B121" i="30"/>
  <c r="M120" i="30"/>
  <c r="L120" i="30"/>
  <c r="K120" i="30"/>
  <c r="J120" i="30"/>
  <c r="I120" i="30"/>
  <c r="H120" i="30"/>
  <c r="G120" i="30"/>
  <c r="F120" i="30"/>
  <c r="E120" i="30"/>
  <c r="D120" i="30"/>
  <c r="C120" i="30"/>
  <c r="B120" i="30"/>
  <c r="M119" i="30"/>
  <c r="L119" i="30"/>
  <c r="K119" i="30"/>
  <c r="J119" i="30"/>
  <c r="I119" i="30"/>
  <c r="H119" i="30"/>
  <c r="G119" i="30"/>
  <c r="F119" i="30"/>
  <c r="E119" i="30"/>
  <c r="D119" i="30"/>
  <c r="C119" i="30"/>
  <c r="B119" i="30"/>
  <c r="M118" i="30"/>
  <c r="L118" i="30"/>
  <c r="K118" i="30"/>
  <c r="J118" i="30"/>
  <c r="I118" i="30"/>
  <c r="H118" i="30"/>
  <c r="G118" i="30"/>
  <c r="F118" i="30"/>
  <c r="E118" i="30"/>
  <c r="D118" i="30"/>
  <c r="C118" i="30"/>
  <c r="B118" i="30"/>
  <c r="M117" i="30"/>
  <c r="L117" i="30"/>
  <c r="K117" i="30"/>
  <c r="J117" i="30"/>
  <c r="I117" i="30"/>
  <c r="H117" i="30"/>
  <c r="G117" i="30"/>
  <c r="F117" i="30"/>
  <c r="E117" i="30"/>
  <c r="D117" i="30"/>
  <c r="C117" i="30"/>
  <c r="B117" i="30"/>
  <c r="M116" i="30"/>
  <c r="L116" i="30"/>
  <c r="K116" i="30"/>
  <c r="J116" i="30"/>
  <c r="I116" i="30"/>
  <c r="H116" i="30"/>
  <c r="G116" i="30"/>
  <c r="F116" i="30"/>
  <c r="E116" i="30"/>
  <c r="D116" i="30"/>
  <c r="C116" i="30"/>
  <c r="B116" i="30"/>
  <c r="M115" i="30"/>
  <c r="L115" i="30"/>
  <c r="K115" i="30"/>
  <c r="J115" i="30"/>
  <c r="I115" i="30"/>
  <c r="H115" i="30"/>
  <c r="G115" i="30"/>
  <c r="F115" i="30"/>
  <c r="E115" i="30"/>
  <c r="D115" i="30"/>
  <c r="C115" i="30"/>
  <c r="B115" i="30"/>
  <c r="J105" i="30"/>
  <c r="I105" i="30"/>
  <c r="H105" i="30"/>
  <c r="G105" i="30"/>
  <c r="F105" i="30"/>
  <c r="E105" i="30"/>
  <c r="D105" i="30"/>
  <c r="C105" i="30"/>
  <c r="B105" i="30"/>
  <c r="J104" i="30"/>
  <c r="I104" i="30"/>
  <c r="H104" i="30"/>
  <c r="G104" i="30"/>
  <c r="F104" i="30"/>
  <c r="E104" i="30"/>
  <c r="D104" i="30"/>
  <c r="C104" i="30"/>
  <c r="B104" i="30"/>
  <c r="J103" i="30"/>
  <c r="I103" i="30"/>
  <c r="H103" i="30"/>
  <c r="G103" i="30"/>
  <c r="F103" i="30"/>
  <c r="E103" i="30"/>
  <c r="D103" i="30"/>
  <c r="C103" i="30"/>
  <c r="B103" i="30"/>
  <c r="J102" i="30"/>
  <c r="I102" i="30"/>
  <c r="H102" i="30"/>
  <c r="G102" i="30"/>
  <c r="F102" i="30"/>
  <c r="E102" i="30"/>
  <c r="D102" i="30"/>
  <c r="C102" i="30"/>
  <c r="B102" i="30"/>
  <c r="J92" i="30"/>
  <c r="I92" i="30"/>
  <c r="H92" i="30"/>
  <c r="G92" i="30"/>
  <c r="F92" i="30"/>
  <c r="E92" i="30"/>
  <c r="D92" i="30"/>
  <c r="C92" i="30"/>
  <c r="B92" i="30"/>
  <c r="J91" i="30"/>
  <c r="I91" i="30"/>
  <c r="H91" i="30"/>
  <c r="G91" i="30"/>
  <c r="F91" i="30"/>
  <c r="E91" i="30"/>
  <c r="D91" i="30"/>
  <c r="C91" i="30"/>
  <c r="B91" i="30"/>
  <c r="J90" i="30"/>
  <c r="I90" i="30"/>
  <c r="H90" i="30"/>
  <c r="G90" i="30"/>
  <c r="F90" i="30"/>
  <c r="E90" i="30"/>
  <c r="D90" i="30"/>
  <c r="C90" i="30"/>
  <c r="B90" i="30"/>
  <c r="J89" i="30"/>
  <c r="I89" i="30"/>
  <c r="H89" i="30"/>
  <c r="G89" i="30"/>
  <c r="F89" i="30"/>
  <c r="E89" i="30"/>
  <c r="D89" i="30"/>
  <c r="C89" i="30"/>
  <c r="B89" i="30"/>
  <c r="J88" i="30"/>
  <c r="I88" i="30"/>
  <c r="H88" i="30"/>
  <c r="G88" i="30"/>
  <c r="F88" i="30"/>
  <c r="E88" i="30"/>
  <c r="D88" i="30"/>
  <c r="C88" i="30"/>
  <c r="B88" i="30"/>
  <c r="J78" i="30"/>
  <c r="I78" i="30"/>
  <c r="H78" i="30"/>
  <c r="G78" i="30"/>
  <c r="F78" i="30"/>
  <c r="E78" i="30"/>
  <c r="D78" i="30"/>
  <c r="C78" i="30"/>
  <c r="B78" i="30"/>
  <c r="J77" i="30"/>
  <c r="I77" i="30"/>
  <c r="H77" i="30"/>
  <c r="G77" i="30"/>
  <c r="F77" i="30"/>
  <c r="E77" i="30"/>
  <c r="D77" i="30"/>
  <c r="C77" i="30"/>
  <c r="B77" i="30"/>
  <c r="J76" i="30"/>
  <c r="I76" i="30"/>
  <c r="H76" i="30"/>
  <c r="G76" i="30"/>
  <c r="F76" i="30"/>
  <c r="E76" i="30"/>
  <c r="D76" i="30"/>
  <c r="C76" i="30"/>
  <c r="B76" i="30"/>
  <c r="J75" i="30"/>
  <c r="I75" i="30"/>
  <c r="H75" i="30"/>
  <c r="G75" i="30"/>
  <c r="F75" i="30"/>
  <c r="E75" i="30"/>
  <c r="D75" i="30"/>
  <c r="C75" i="30"/>
  <c r="B75" i="30"/>
  <c r="J74" i="30"/>
  <c r="I74" i="30"/>
  <c r="H74" i="30"/>
  <c r="G74" i="30"/>
  <c r="F74" i="30"/>
  <c r="E74" i="30"/>
  <c r="D74" i="30"/>
  <c r="C74" i="30"/>
  <c r="B74" i="30"/>
  <c r="J73" i="30"/>
  <c r="I73" i="30"/>
  <c r="H73" i="30"/>
  <c r="G73" i="30"/>
  <c r="F73" i="30"/>
  <c r="E73" i="30"/>
  <c r="D73" i="30"/>
  <c r="C73" i="30"/>
  <c r="B73" i="30"/>
  <c r="J72" i="30"/>
  <c r="I72" i="30"/>
  <c r="H72" i="30"/>
  <c r="G72" i="30"/>
  <c r="F72" i="30"/>
  <c r="E72" i="30"/>
  <c r="D72" i="30"/>
  <c r="C72" i="30"/>
  <c r="B72" i="30"/>
  <c r="J71" i="30"/>
  <c r="I71" i="30"/>
  <c r="H71" i="30"/>
  <c r="G71" i="30"/>
  <c r="F71" i="30"/>
  <c r="E71" i="30"/>
  <c r="D71" i="30"/>
  <c r="C71" i="30"/>
  <c r="B71" i="30"/>
  <c r="J70" i="30"/>
  <c r="I70" i="30"/>
  <c r="H70" i="30"/>
  <c r="G70" i="30"/>
  <c r="F70" i="30"/>
  <c r="E70" i="30"/>
  <c r="D70" i="30"/>
  <c r="C70" i="30"/>
  <c r="B70" i="30"/>
  <c r="D60" i="30"/>
  <c r="C60" i="30"/>
  <c r="B60" i="30"/>
  <c r="D59" i="30"/>
  <c r="C59" i="30"/>
  <c r="B59" i="30"/>
  <c r="D58" i="30"/>
  <c r="C58" i="30"/>
  <c r="B58" i="30"/>
  <c r="D57" i="30"/>
  <c r="C57" i="30"/>
  <c r="B57" i="30"/>
  <c r="D56" i="30"/>
  <c r="C56" i="30"/>
  <c r="B56" i="30"/>
  <c r="D55" i="30"/>
  <c r="C55" i="30"/>
  <c r="B55" i="30"/>
  <c r="D54" i="30"/>
  <c r="C54" i="30"/>
  <c r="B54" i="30"/>
  <c r="D53" i="30"/>
  <c r="C53" i="30"/>
  <c r="B53" i="30"/>
  <c r="D52" i="30"/>
  <c r="C52" i="30"/>
  <c r="B52" i="30"/>
  <c r="D51" i="30"/>
  <c r="C51" i="30"/>
  <c r="B51" i="30"/>
  <c r="D50" i="30"/>
  <c r="C50" i="30"/>
  <c r="B50" i="30"/>
  <c r="D49" i="30"/>
  <c r="C49" i="30"/>
  <c r="B49" i="30"/>
  <c r="D48" i="30"/>
  <c r="C48" i="30"/>
  <c r="B48" i="30"/>
  <c r="D47" i="30"/>
  <c r="C47" i="30"/>
  <c r="B47" i="30"/>
  <c r="D46" i="30"/>
  <c r="C46" i="30"/>
  <c r="B46" i="30"/>
  <c r="D45" i="30"/>
  <c r="C45" i="30"/>
  <c r="B45" i="30"/>
  <c r="D44" i="30"/>
  <c r="C44" i="30"/>
  <c r="B44" i="30"/>
  <c r="D43" i="30"/>
  <c r="C43" i="30"/>
  <c r="B43" i="30"/>
  <c r="D42" i="30"/>
  <c r="C42" i="30"/>
  <c r="B42" i="30"/>
  <c r="D33" i="30"/>
  <c r="C33" i="30"/>
  <c r="B33" i="30"/>
  <c r="D32" i="30"/>
  <c r="C32" i="30"/>
  <c r="B32" i="30"/>
  <c r="D31" i="30"/>
  <c r="C31" i="30"/>
  <c r="B31" i="30"/>
  <c r="D30" i="30"/>
  <c r="C30" i="30"/>
  <c r="B30" i="30"/>
  <c r="D29" i="30"/>
  <c r="C29" i="30"/>
  <c r="B29" i="30"/>
  <c r="D28" i="30"/>
  <c r="C28" i="30"/>
  <c r="B28" i="30"/>
  <c r="D27" i="30"/>
  <c r="C27" i="30"/>
  <c r="B27" i="30"/>
  <c r="D26" i="30"/>
  <c r="C26" i="30"/>
  <c r="B26" i="30"/>
  <c r="D25" i="30"/>
  <c r="C25" i="30"/>
  <c r="B25" i="30"/>
  <c r="D24" i="30"/>
  <c r="C24" i="30"/>
  <c r="B24" i="30"/>
  <c r="D23" i="30"/>
  <c r="C23" i="30"/>
  <c r="B23" i="30"/>
  <c r="D22" i="30"/>
  <c r="C22" i="30"/>
  <c r="B22" i="30"/>
  <c r="D21" i="30"/>
  <c r="C21" i="30"/>
  <c r="B21" i="30"/>
  <c r="D20" i="30"/>
  <c r="C20" i="30"/>
  <c r="B20" i="30"/>
  <c r="D19" i="30"/>
  <c r="C19" i="30"/>
  <c r="B19" i="30"/>
  <c r="D18" i="30"/>
  <c r="C18" i="30"/>
  <c r="B18" i="30"/>
  <c r="D17" i="30"/>
  <c r="C17" i="30"/>
  <c r="B17" i="30"/>
  <c r="D16" i="30"/>
  <c r="C16" i="30"/>
  <c r="B16" i="30"/>
  <c r="D15" i="30"/>
  <c r="C15" i="30"/>
  <c r="B15" i="30"/>
  <c r="B9" i="30"/>
  <c r="B8" i="30"/>
  <c r="B7" i="30"/>
  <c r="J49" i="51"/>
  <c r="I49" i="51"/>
  <c r="H49" i="51"/>
  <c r="G49" i="51"/>
  <c r="F49" i="51"/>
  <c r="E49" i="51"/>
  <c r="D49" i="51"/>
  <c r="J45" i="51"/>
  <c r="I45" i="51"/>
  <c r="H45" i="51"/>
  <c r="G45" i="51"/>
  <c r="F45" i="51"/>
  <c r="E45" i="51"/>
  <c r="D45" i="51"/>
  <c r="J44" i="51"/>
  <c r="I44" i="51"/>
  <c r="H44" i="51"/>
  <c r="G44" i="51"/>
  <c r="F44" i="51"/>
  <c r="E44" i="51"/>
  <c r="D44" i="51"/>
  <c r="J43" i="51"/>
  <c r="I43" i="51"/>
  <c r="H43" i="51"/>
  <c r="G43" i="51"/>
  <c r="F43" i="51"/>
  <c r="E43" i="51"/>
  <c r="D43" i="51"/>
  <c r="F42" i="51"/>
  <c r="E42" i="51"/>
  <c r="D42" i="51"/>
  <c r="J39" i="51"/>
  <c r="I39" i="51"/>
  <c r="H39" i="51"/>
  <c r="G39" i="51"/>
  <c r="F39" i="51"/>
  <c r="E39" i="51"/>
  <c r="D39" i="51"/>
  <c r="J38" i="51"/>
  <c r="I38" i="51"/>
  <c r="H38" i="51"/>
  <c r="G38" i="51"/>
  <c r="F38" i="51"/>
  <c r="E38" i="51"/>
  <c r="D38" i="51"/>
  <c r="J37" i="51"/>
  <c r="I37" i="51"/>
  <c r="H37" i="51"/>
  <c r="G37" i="51"/>
  <c r="F37" i="51"/>
  <c r="E37" i="51"/>
  <c r="D37" i="51"/>
  <c r="J36" i="51"/>
  <c r="I36" i="51"/>
  <c r="H36" i="51"/>
  <c r="G36" i="51"/>
  <c r="F36" i="51"/>
  <c r="E36" i="51"/>
  <c r="D36" i="51"/>
  <c r="J35" i="51"/>
  <c r="I35" i="51"/>
  <c r="H35" i="51"/>
  <c r="G35" i="51"/>
  <c r="F35" i="51"/>
  <c r="E35" i="51"/>
  <c r="D35" i="51"/>
  <c r="J33" i="51"/>
  <c r="I33" i="51"/>
  <c r="H33" i="51"/>
  <c r="G33" i="51"/>
  <c r="F33" i="51"/>
  <c r="E33" i="51"/>
  <c r="D33" i="51"/>
  <c r="J31" i="51"/>
  <c r="I31" i="51"/>
  <c r="H31" i="51"/>
  <c r="G31" i="51"/>
  <c r="F31" i="51"/>
  <c r="E31" i="51"/>
  <c r="D31" i="51"/>
  <c r="J30" i="51"/>
  <c r="I30" i="51"/>
  <c r="H30" i="51"/>
  <c r="G30" i="51"/>
  <c r="F30" i="51"/>
  <c r="E30" i="51"/>
  <c r="D30" i="51"/>
  <c r="J29" i="51"/>
  <c r="I29" i="51"/>
  <c r="H29" i="51"/>
  <c r="G29" i="51"/>
  <c r="F29" i="51"/>
  <c r="E29" i="51"/>
  <c r="D29" i="51"/>
  <c r="J28" i="51"/>
  <c r="I28" i="51"/>
  <c r="H28" i="51"/>
  <c r="G28" i="51"/>
  <c r="F28" i="51"/>
  <c r="E28" i="51"/>
  <c r="D28" i="51"/>
  <c r="J27" i="51"/>
  <c r="I27" i="51"/>
  <c r="H27" i="51"/>
  <c r="G27" i="51"/>
  <c r="F27" i="51"/>
  <c r="E27" i="51"/>
  <c r="D27" i="51"/>
  <c r="J26" i="51"/>
  <c r="I26" i="51"/>
  <c r="H26" i="51"/>
  <c r="G26" i="51"/>
  <c r="F26" i="51"/>
  <c r="E26" i="51"/>
  <c r="D26" i="51"/>
  <c r="J25" i="51"/>
  <c r="I25" i="51"/>
  <c r="H25" i="51"/>
  <c r="G25" i="51"/>
  <c r="F25" i="51"/>
  <c r="E25" i="51"/>
  <c r="D25" i="51"/>
  <c r="J24" i="51"/>
  <c r="I24" i="51"/>
  <c r="H24" i="51"/>
  <c r="G24" i="51"/>
  <c r="F24" i="51"/>
  <c r="E24" i="51"/>
  <c r="D24" i="51"/>
  <c r="J23" i="51"/>
  <c r="I23" i="51"/>
  <c r="H23" i="51"/>
  <c r="G23" i="51"/>
  <c r="F23" i="51"/>
  <c r="E23" i="51"/>
  <c r="D23" i="51"/>
  <c r="J22" i="51"/>
  <c r="I22" i="51"/>
  <c r="H22" i="51"/>
  <c r="G22" i="51"/>
  <c r="F22" i="51"/>
  <c r="E22" i="51"/>
  <c r="D22" i="51"/>
  <c r="J21" i="51"/>
  <c r="I21" i="51"/>
  <c r="H21" i="51"/>
  <c r="G21" i="51"/>
  <c r="F21" i="51"/>
  <c r="E21" i="51"/>
  <c r="D21" i="51"/>
  <c r="J19" i="51"/>
  <c r="I19" i="51"/>
  <c r="H19" i="51"/>
  <c r="G19" i="51"/>
  <c r="F19" i="51"/>
  <c r="E19" i="51"/>
  <c r="D19" i="51"/>
  <c r="J18" i="51"/>
  <c r="I18" i="51"/>
  <c r="H18" i="51"/>
  <c r="G18" i="51"/>
  <c r="F18" i="51"/>
  <c r="E18" i="51"/>
  <c r="D18" i="51"/>
  <c r="J17" i="51"/>
  <c r="I17" i="51"/>
  <c r="H17" i="51"/>
  <c r="G17" i="51"/>
  <c r="F17" i="51"/>
  <c r="E17" i="51"/>
  <c r="D17" i="51"/>
  <c r="J16" i="51"/>
  <c r="I16" i="51"/>
  <c r="H16" i="51"/>
  <c r="G16" i="51"/>
  <c r="F16" i="51"/>
  <c r="E16" i="51"/>
  <c r="D16" i="51"/>
  <c r="J15" i="51"/>
  <c r="I15" i="51"/>
  <c r="H15" i="51"/>
  <c r="G15" i="51"/>
  <c r="F15" i="51"/>
  <c r="E15" i="51"/>
  <c r="D15" i="51"/>
  <c r="J14" i="51"/>
  <c r="I14" i="51"/>
  <c r="H14" i="51"/>
  <c r="G14" i="51"/>
  <c r="F14" i="51"/>
  <c r="E14" i="51"/>
  <c r="D14" i="51"/>
  <c r="J13" i="51"/>
  <c r="I13" i="51"/>
  <c r="H13" i="51"/>
  <c r="G13" i="51"/>
  <c r="F13" i="51"/>
  <c r="E13" i="51"/>
  <c r="D13" i="51"/>
  <c r="J11" i="51"/>
  <c r="I11" i="51"/>
  <c r="H11" i="51"/>
  <c r="G11" i="51"/>
  <c r="F11" i="51"/>
  <c r="E11" i="51"/>
  <c r="D11" i="51"/>
  <c r="J10" i="51"/>
  <c r="I10" i="51"/>
  <c r="H10" i="51"/>
  <c r="G10" i="51"/>
  <c r="F10" i="51"/>
  <c r="E10" i="51"/>
  <c r="D10" i="51"/>
  <c r="J9" i="51"/>
  <c r="I9" i="51"/>
  <c r="H9" i="51"/>
  <c r="G9" i="51"/>
  <c r="F9" i="51"/>
  <c r="E9" i="51"/>
  <c r="D9" i="51"/>
  <c r="J8" i="51"/>
  <c r="I8" i="51"/>
  <c r="H8" i="51"/>
  <c r="G8" i="51"/>
  <c r="F8" i="51"/>
  <c r="E8" i="51"/>
  <c r="D8" i="51"/>
  <c r="E220" i="29" l="1"/>
  <c r="E219" i="29"/>
  <c r="E218" i="29"/>
  <c r="E216" i="29"/>
  <c r="E215" i="29"/>
  <c r="E214" i="29"/>
  <c r="I69" i="29"/>
  <c r="H69" i="29"/>
  <c r="G69" i="29"/>
  <c r="F69" i="29"/>
  <c r="I68" i="29"/>
  <c r="H68" i="29"/>
  <c r="G68" i="29"/>
  <c r="F68" i="29"/>
  <c r="I67" i="29"/>
  <c r="H67" i="29"/>
  <c r="G67" i="29"/>
  <c r="F67" i="29"/>
  <c r="I66" i="29"/>
  <c r="H66" i="29"/>
  <c r="G66" i="29"/>
  <c r="F66" i="29"/>
  <c r="I64" i="29"/>
  <c r="H64" i="29"/>
  <c r="G64" i="29"/>
  <c r="F64" i="29"/>
  <c r="I63" i="29"/>
  <c r="H63" i="29"/>
  <c r="G63" i="29"/>
  <c r="F63" i="29"/>
  <c r="I62" i="29"/>
  <c r="H62" i="29"/>
  <c r="G62" i="29"/>
  <c r="F62" i="29"/>
  <c r="I61" i="29"/>
  <c r="H61" i="29"/>
  <c r="G61" i="29"/>
  <c r="F61" i="29"/>
  <c r="I60" i="29"/>
  <c r="H60" i="29"/>
  <c r="G60" i="29"/>
  <c r="F60" i="29"/>
  <c r="I59" i="29"/>
  <c r="H59" i="29"/>
  <c r="G59" i="29"/>
  <c r="F59" i="29"/>
  <c r="I58" i="29"/>
  <c r="H58" i="29"/>
  <c r="G58" i="29"/>
  <c r="F58" i="29"/>
  <c r="I22" i="29"/>
  <c r="H22" i="29"/>
  <c r="G22" i="29"/>
  <c r="F22" i="29"/>
  <c r="I21" i="29"/>
  <c r="H21" i="29"/>
  <c r="G21" i="29"/>
  <c r="F21" i="29"/>
  <c r="I20" i="29"/>
  <c r="H20" i="29"/>
  <c r="G20" i="29"/>
  <c r="F20" i="29"/>
  <c r="I19" i="29"/>
  <c r="H19" i="29"/>
  <c r="G19" i="29"/>
  <c r="F19" i="29"/>
  <c r="I271" i="29"/>
  <c r="H271" i="29"/>
  <c r="G271" i="29"/>
  <c r="F271" i="29"/>
  <c r="E271" i="29"/>
  <c r="D271" i="29"/>
  <c r="C271" i="29"/>
  <c r="I270" i="29"/>
  <c r="H270" i="29"/>
  <c r="G270" i="29"/>
  <c r="F270" i="29"/>
  <c r="E270" i="29"/>
  <c r="D270" i="29"/>
  <c r="C270" i="29"/>
  <c r="I269" i="29"/>
  <c r="H269" i="29"/>
  <c r="G269" i="29"/>
  <c r="F269" i="29"/>
  <c r="E269" i="29"/>
  <c r="D269" i="29"/>
  <c r="C269" i="29"/>
  <c r="I268" i="29"/>
  <c r="H268" i="29"/>
  <c r="G268" i="29"/>
  <c r="F268" i="29"/>
  <c r="E268" i="29"/>
  <c r="D268" i="29"/>
  <c r="C268" i="29"/>
  <c r="I267" i="29"/>
  <c r="H267" i="29"/>
  <c r="G267" i="29"/>
  <c r="F267" i="29"/>
  <c r="E267" i="29"/>
  <c r="D267" i="29"/>
  <c r="C267" i="29"/>
  <c r="I266" i="29"/>
  <c r="H266" i="29"/>
  <c r="G266" i="29"/>
  <c r="F266" i="29"/>
  <c r="E266" i="29"/>
  <c r="D266" i="29"/>
  <c r="C266" i="29"/>
  <c r="I265" i="29"/>
  <c r="H265" i="29"/>
  <c r="G265" i="29"/>
  <c r="F265" i="29"/>
  <c r="E265" i="29"/>
  <c r="D265" i="29"/>
  <c r="C265" i="29"/>
  <c r="I264" i="29"/>
  <c r="H264" i="29"/>
  <c r="G264" i="29"/>
  <c r="F264" i="29"/>
  <c r="E264" i="29"/>
  <c r="D264" i="29"/>
  <c r="C264" i="29"/>
  <c r="I263" i="29"/>
  <c r="H263" i="29"/>
  <c r="G263" i="29"/>
  <c r="F263" i="29"/>
  <c r="E263" i="29"/>
  <c r="D263" i="29"/>
  <c r="C263" i="29"/>
  <c r="D261" i="29"/>
  <c r="C261" i="29"/>
  <c r="D260" i="29"/>
  <c r="C260" i="29"/>
  <c r="D259" i="29"/>
  <c r="C259" i="29"/>
  <c r="D258" i="29"/>
  <c r="C258" i="29"/>
  <c r="D257" i="29"/>
  <c r="C257" i="29"/>
  <c r="D256" i="29"/>
  <c r="C256" i="29"/>
  <c r="D255" i="29"/>
  <c r="C255" i="29"/>
  <c r="D254" i="29"/>
  <c r="C254" i="29"/>
  <c r="D253" i="29"/>
  <c r="C253" i="29"/>
  <c r="D251" i="29"/>
  <c r="C251" i="29"/>
  <c r="D250" i="29"/>
  <c r="C250" i="29"/>
  <c r="D249" i="29"/>
  <c r="C249" i="29"/>
  <c r="D248" i="29"/>
  <c r="C248" i="29"/>
  <c r="D247" i="29"/>
  <c r="C247" i="29"/>
  <c r="D246" i="29"/>
  <c r="C246" i="29"/>
  <c r="D245" i="29"/>
  <c r="C245" i="29"/>
  <c r="D244" i="29"/>
  <c r="C244" i="29"/>
  <c r="D243" i="29"/>
  <c r="C243" i="29"/>
  <c r="D241" i="29"/>
  <c r="C241" i="29"/>
  <c r="D240" i="29"/>
  <c r="C240" i="29"/>
  <c r="D239" i="29"/>
  <c r="C239" i="29"/>
  <c r="D238" i="29"/>
  <c r="C238" i="29"/>
  <c r="D237" i="29"/>
  <c r="C237" i="29"/>
  <c r="D236" i="29"/>
  <c r="C236" i="29"/>
  <c r="D235" i="29"/>
  <c r="C235" i="29"/>
  <c r="D234" i="29"/>
  <c r="C234" i="29"/>
  <c r="D233" i="29"/>
  <c r="C233" i="29"/>
  <c r="D231" i="29"/>
  <c r="C231" i="29"/>
  <c r="D230" i="29"/>
  <c r="C230" i="29"/>
  <c r="D229" i="29"/>
  <c r="C229" i="29"/>
  <c r="D228" i="29"/>
  <c r="C228" i="29"/>
  <c r="D227" i="29"/>
  <c r="C227" i="29"/>
  <c r="D226" i="29"/>
  <c r="C226" i="29"/>
  <c r="D225" i="29"/>
  <c r="C225" i="29"/>
  <c r="D224" i="29"/>
  <c r="C224" i="29"/>
  <c r="D223" i="29"/>
  <c r="C223" i="29"/>
  <c r="D220" i="29"/>
  <c r="C220" i="29"/>
  <c r="D219" i="29"/>
  <c r="C219" i="29"/>
  <c r="D218" i="29"/>
  <c r="C218" i="29"/>
  <c r="D216" i="29"/>
  <c r="C216" i="29"/>
  <c r="D215" i="29"/>
  <c r="C215" i="29"/>
  <c r="D214" i="29"/>
  <c r="C214" i="29"/>
  <c r="D212" i="29"/>
  <c r="C212" i="29"/>
  <c r="D211" i="29"/>
  <c r="C211" i="29"/>
  <c r="D210" i="29"/>
  <c r="C210" i="29"/>
  <c r="D209" i="29"/>
  <c r="C209" i="29"/>
  <c r="D207" i="29"/>
  <c r="C207" i="29"/>
  <c r="D206" i="29"/>
  <c r="C206" i="29"/>
  <c r="D205" i="29"/>
  <c r="C205" i="29"/>
  <c r="D204" i="29"/>
  <c r="C204" i="29"/>
  <c r="D202" i="29"/>
  <c r="C202" i="29"/>
  <c r="D201" i="29"/>
  <c r="C201" i="29"/>
  <c r="D200" i="29"/>
  <c r="C200" i="29"/>
  <c r="D199" i="29"/>
  <c r="C199" i="29"/>
  <c r="D196" i="29"/>
  <c r="C196" i="29"/>
  <c r="D195" i="29"/>
  <c r="C195" i="29"/>
  <c r="D194" i="29"/>
  <c r="C194" i="29"/>
  <c r="D193" i="29"/>
  <c r="C193" i="29"/>
  <c r="D192" i="29"/>
  <c r="C192" i="29"/>
  <c r="D190" i="29"/>
  <c r="C190" i="29"/>
  <c r="D189" i="29"/>
  <c r="C189" i="29"/>
  <c r="D188" i="29"/>
  <c r="C188" i="29"/>
  <c r="D187" i="29"/>
  <c r="C187" i="29"/>
  <c r="D186" i="29"/>
  <c r="C186" i="29"/>
  <c r="D184" i="29"/>
  <c r="C184" i="29"/>
  <c r="D183" i="29"/>
  <c r="C183" i="29"/>
  <c r="D182" i="29"/>
  <c r="C182" i="29"/>
  <c r="D181" i="29"/>
  <c r="C181" i="29"/>
  <c r="D180" i="29"/>
  <c r="C180" i="29"/>
  <c r="D177" i="29"/>
  <c r="C177" i="29"/>
  <c r="D176" i="29"/>
  <c r="C176" i="29"/>
  <c r="D175" i="29"/>
  <c r="C175" i="29"/>
  <c r="D174" i="29"/>
  <c r="C174" i="29"/>
  <c r="D173" i="29"/>
  <c r="C173" i="29"/>
  <c r="D172" i="29"/>
  <c r="C172" i="29"/>
  <c r="D171" i="29"/>
  <c r="C171" i="29"/>
  <c r="D170" i="29"/>
  <c r="C170" i="29"/>
  <c r="D169" i="29"/>
  <c r="C169" i="29"/>
  <c r="D167" i="29"/>
  <c r="C167" i="29"/>
  <c r="D166" i="29"/>
  <c r="C166" i="29"/>
  <c r="D165" i="29"/>
  <c r="C165" i="29"/>
  <c r="D164" i="29"/>
  <c r="C164" i="29"/>
  <c r="D163" i="29"/>
  <c r="C163" i="29"/>
  <c r="D162" i="29"/>
  <c r="C162" i="29"/>
  <c r="D161" i="29"/>
  <c r="C161" i="29"/>
  <c r="D160" i="29"/>
  <c r="C160" i="29"/>
  <c r="D159" i="29"/>
  <c r="C159" i="29"/>
  <c r="D157" i="29"/>
  <c r="C157" i="29"/>
  <c r="D156" i="29"/>
  <c r="C156" i="29"/>
  <c r="D155" i="29"/>
  <c r="C155" i="29"/>
  <c r="D154" i="29"/>
  <c r="C154" i="29"/>
  <c r="D153" i="29"/>
  <c r="C153" i="29"/>
  <c r="D152" i="29"/>
  <c r="C152" i="29"/>
  <c r="D151" i="29"/>
  <c r="C151" i="29"/>
  <c r="D150" i="29"/>
  <c r="C150" i="29"/>
  <c r="D149" i="29"/>
  <c r="C149" i="29"/>
  <c r="I146" i="29"/>
  <c r="H146" i="29"/>
  <c r="G146" i="29"/>
  <c r="F146" i="29"/>
  <c r="E146" i="29"/>
  <c r="D146" i="29"/>
  <c r="C146" i="29"/>
  <c r="I145" i="29"/>
  <c r="H145" i="29"/>
  <c r="G145" i="29"/>
  <c r="F145" i="29"/>
  <c r="E145" i="29"/>
  <c r="D145" i="29"/>
  <c r="C145" i="29"/>
  <c r="I144" i="29"/>
  <c r="H144" i="29"/>
  <c r="G144" i="29"/>
  <c r="F144" i="29"/>
  <c r="E144" i="29"/>
  <c r="D144" i="29"/>
  <c r="C144" i="29"/>
  <c r="I143" i="29"/>
  <c r="H143" i="29"/>
  <c r="G143" i="29"/>
  <c r="F143" i="29"/>
  <c r="E143" i="29"/>
  <c r="D143" i="29"/>
  <c r="C143" i="29"/>
  <c r="I141" i="29"/>
  <c r="H141" i="29"/>
  <c r="G141" i="29"/>
  <c r="F141" i="29"/>
  <c r="E141" i="29"/>
  <c r="D141" i="29"/>
  <c r="C141" i="29"/>
  <c r="I140" i="29"/>
  <c r="H140" i="29"/>
  <c r="G140" i="29"/>
  <c r="F140" i="29"/>
  <c r="E140" i="29"/>
  <c r="D140" i="29"/>
  <c r="C140" i="29"/>
  <c r="I139" i="29"/>
  <c r="H139" i="29"/>
  <c r="G139" i="29"/>
  <c r="F139" i="29"/>
  <c r="E139" i="29"/>
  <c r="D139" i="29"/>
  <c r="C139" i="29"/>
  <c r="I138" i="29"/>
  <c r="H138" i="29"/>
  <c r="G138" i="29"/>
  <c r="F138" i="29"/>
  <c r="E138" i="29"/>
  <c r="D138" i="29"/>
  <c r="C138" i="29"/>
  <c r="I137" i="29"/>
  <c r="H137" i="29"/>
  <c r="G137" i="29"/>
  <c r="F137" i="29"/>
  <c r="E137" i="29"/>
  <c r="D137" i="29"/>
  <c r="C137" i="29"/>
  <c r="I136" i="29"/>
  <c r="H136" i="29"/>
  <c r="G136" i="29"/>
  <c r="F136" i="29"/>
  <c r="E136" i="29"/>
  <c r="D136" i="29"/>
  <c r="C136" i="29"/>
  <c r="I134" i="29"/>
  <c r="H134" i="29"/>
  <c r="G134" i="29"/>
  <c r="F134" i="29"/>
  <c r="E134" i="29"/>
  <c r="D134" i="29"/>
  <c r="C134" i="29"/>
  <c r="I133" i="29"/>
  <c r="H133" i="29"/>
  <c r="G133" i="29"/>
  <c r="F133" i="29"/>
  <c r="E133" i="29"/>
  <c r="D133" i="29"/>
  <c r="C133" i="29"/>
  <c r="I132" i="29"/>
  <c r="H132" i="29"/>
  <c r="G132" i="29"/>
  <c r="F132" i="29"/>
  <c r="E132" i="29"/>
  <c r="D132" i="29"/>
  <c r="C132" i="29"/>
  <c r="I131" i="29"/>
  <c r="H131" i="29"/>
  <c r="G131" i="29"/>
  <c r="F131" i="29"/>
  <c r="E131" i="29"/>
  <c r="D131" i="29"/>
  <c r="C131" i="29"/>
  <c r="I130" i="29"/>
  <c r="H130" i="29"/>
  <c r="G130" i="29"/>
  <c r="F130" i="29"/>
  <c r="E130" i="29"/>
  <c r="D130" i="29"/>
  <c r="C130" i="29"/>
  <c r="I129" i="29"/>
  <c r="H129" i="29"/>
  <c r="G129" i="29"/>
  <c r="F129" i="29"/>
  <c r="E129" i="29"/>
  <c r="D129" i="29"/>
  <c r="C129" i="29"/>
  <c r="I128" i="29"/>
  <c r="H128" i="29"/>
  <c r="G128" i="29"/>
  <c r="F128" i="29"/>
  <c r="E128" i="29"/>
  <c r="D128" i="29"/>
  <c r="C128" i="29"/>
  <c r="I126" i="29"/>
  <c r="H126" i="29"/>
  <c r="G126" i="29"/>
  <c r="F126" i="29"/>
  <c r="E126" i="29"/>
  <c r="D126" i="29"/>
  <c r="C126" i="29"/>
  <c r="I125" i="29"/>
  <c r="H125" i="29"/>
  <c r="G125" i="29"/>
  <c r="F125" i="29"/>
  <c r="E125" i="29"/>
  <c r="D125" i="29"/>
  <c r="C125" i="29"/>
  <c r="I124" i="29"/>
  <c r="H124" i="29"/>
  <c r="G124" i="29"/>
  <c r="F124" i="29"/>
  <c r="E124" i="29"/>
  <c r="D124" i="29"/>
  <c r="C124" i="29"/>
  <c r="I123" i="29"/>
  <c r="H123" i="29"/>
  <c r="G123" i="29"/>
  <c r="F123" i="29"/>
  <c r="E123" i="29"/>
  <c r="D123" i="29"/>
  <c r="C123" i="29"/>
  <c r="I122" i="29"/>
  <c r="H122" i="29"/>
  <c r="G122" i="29"/>
  <c r="F122" i="29"/>
  <c r="E122" i="29"/>
  <c r="D122" i="29"/>
  <c r="C122" i="29"/>
  <c r="I121" i="29"/>
  <c r="H121" i="29"/>
  <c r="G121" i="29"/>
  <c r="F121" i="29"/>
  <c r="E121" i="29"/>
  <c r="D121" i="29"/>
  <c r="C121" i="29"/>
  <c r="I120" i="29"/>
  <c r="H120" i="29"/>
  <c r="G120" i="29"/>
  <c r="F120" i="29"/>
  <c r="E120" i="29"/>
  <c r="D120" i="29"/>
  <c r="C120" i="29"/>
  <c r="I119" i="29"/>
  <c r="H119" i="29"/>
  <c r="G119" i="29"/>
  <c r="F119" i="29"/>
  <c r="E119" i="29"/>
  <c r="D119" i="29"/>
  <c r="C119" i="29"/>
  <c r="I116" i="29"/>
  <c r="H116" i="29"/>
  <c r="G116" i="29"/>
  <c r="F116" i="29"/>
  <c r="E116" i="29"/>
  <c r="I115" i="29"/>
  <c r="H115" i="29"/>
  <c r="G115" i="29"/>
  <c r="F115" i="29"/>
  <c r="E115" i="29"/>
  <c r="I114" i="29"/>
  <c r="H114" i="29"/>
  <c r="G114" i="29"/>
  <c r="F114" i="29"/>
  <c r="E114" i="29"/>
  <c r="I113" i="29"/>
  <c r="H113" i="29"/>
  <c r="G113" i="29"/>
  <c r="F113" i="29"/>
  <c r="E113" i="29"/>
  <c r="I111" i="29"/>
  <c r="H111" i="29"/>
  <c r="G111" i="29"/>
  <c r="F111" i="29"/>
  <c r="E111" i="29"/>
  <c r="D116" i="29"/>
  <c r="C116" i="29"/>
  <c r="D115" i="29"/>
  <c r="C115" i="29"/>
  <c r="D114" i="29"/>
  <c r="C114" i="29"/>
  <c r="D113" i="29"/>
  <c r="C113" i="29"/>
  <c r="D111" i="29"/>
  <c r="C111" i="29"/>
  <c r="D109" i="29"/>
  <c r="C109" i="29"/>
  <c r="D108" i="29"/>
  <c r="C108" i="29"/>
  <c r="D107" i="29"/>
  <c r="C107" i="29"/>
  <c r="D106" i="29"/>
  <c r="C106" i="29"/>
  <c r="D105" i="29"/>
  <c r="C105" i="29"/>
  <c r="D104" i="29"/>
  <c r="C104" i="29"/>
  <c r="D103" i="29"/>
  <c r="C103" i="29"/>
  <c r="D102" i="29"/>
  <c r="C102" i="29"/>
  <c r="D101" i="29"/>
  <c r="C101" i="29"/>
  <c r="D100" i="29"/>
  <c r="C100" i="29"/>
  <c r="D99" i="29"/>
  <c r="C99" i="29"/>
  <c r="D98" i="29"/>
  <c r="C98" i="29"/>
  <c r="D97" i="29"/>
  <c r="C97" i="29"/>
  <c r="D96" i="29"/>
  <c r="C96" i="29"/>
  <c r="D95" i="29"/>
  <c r="C95" i="29"/>
  <c r="D94" i="29"/>
  <c r="C94" i="29"/>
  <c r="D93" i="29"/>
  <c r="C93" i="29"/>
  <c r="D92" i="29"/>
  <c r="C92" i="29"/>
  <c r="D91" i="29"/>
  <c r="C91" i="29"/>
  <c r="D89" i="29"/>
  <c r="C89" i="29"/>
  <c r="D88" i="29"/>
  <c r="C88" i="29"/>
  <c r="D87" i="29"/>
  <c r="C87" i="29"/>
  <c r="D86" i="29"/>
  <c r="C86" i="29"/>
  <c r="D85" i="29"/>
  <c r="C85" i="29"/>
  <c r="D84" i="29"/>
  <c r="C84" i="29"/>
  <c r="D83" i="29"/>
  <c r="C83" i="29"/>
  <c r="D82" i="29"/>
  <c r="C82" i="29"/>
  <c r="D81" i="29"/>
  <c r="C81" i="29"/>
  <c r="D80" i="29"/>
  <c r="C80" i="29"/>
  <c r="D79" i="29"/>
  <c r="C79" i="29"/>
  <c r="D78" i="29"/>
  <c r="C78" i="29"/>
  <c r="D77" i="29"/>
  <c r="C77" i="29"/>
  <c r="D76" i="29"/>
  <c r="C76" i="29"/>
  <c r="D75" i="29"/>
  <c r="C75" i="29"/>
  <c r="D74" i="29"/>
  <c r="C74" i="29"/>
  <c r="D73" i="29"/>
  <c r="C73" i="29"/>
  <c r="D72" i="29"/>
  <c r="C72" i="29"/>
  <c r="D71" i="29"/>
  <c r="C71" i="29"/>
  <c r="E69" i="29"/>
  <c r="D69" i="29"/>
  <c r="C69" i="29"/>
  <c r="E68" i="29"/>
  <c r="D68" i="29"/>
  <c r="C68" i="29"/>
  <c r="E67" i="29"/>
  <c r="D67" i="29"/>
  <c r="C67" i="29"/>
  <c r="E66" i="29"/>
  <c r="D66" i="29"/>
  <c r="C66" i="29"/>
  <c r="E64" i="29"/>
  <c r="D64" i="29"/>
  <c r="C64" i="29"/>
  <c r="E63" i="29"/>
  <c r="D63" i="29"/>
  <c r="C63" i="29"/>
  <c r="E62" i="29"/>
  <c r="D62" i="29"/>
  <c r="C62" i="29"/>
  <c r="E61" i="29"/>
  <c r="D61" i="29"/>
  <c r="C61" i="29"/>
  <c r="E60" i="29"/>
  <c r="D60" i="29"/>
  <c r="C60" i="29"/>
  <c r="E59" i="29"/>
  <c r="D59" i="29"/>
  <c r="C59" i="29"/>
  <c r="E58" i="29"/>
  <c r="D58" i="29"/>
  <c r="C58" i="29"/>
  <c r="E53" i="29"/>
  <c r="D53" i="29"/>
  <c r="C53" i="29"/>
  <c r="E52" i="29"/>
  <c r="D52" i="29"/>
  <c r="C52" i="29"/>
  <c r="E51" i="29"/>
  <c r="D51" i="29"/>
  <c r="C51" i="29"/>
  <c r="E50" i="29"/>
  <c r="D50" i="29"/>
  <c r="C50" i="29"/>
  <c r="E49" i="29"/>
  <c r="D49" i="29"/>
  <c r="C49" i="29"/>
  <c r="E47" i="29"/>
  <c r="D47" i="29"/>
  <c r="C47" i="29"/>
  <c r="E46" i="29"/>
  <c r="D46" i="29"/>
  <c r="C46" i="29"/>
  <c r="E45" i="29"/>
  <c r="D45" i="29"/>
  <c r="C45" i="29"/>
  <c r="E44" i="29"/>
  <c r="D44" i="29"/>
  <c r="C44" i="29"/>
  <c r="E43" i="29"/>
  <c r="D43" i="29"/>
  <c r="C43" i="29"/>
  <c r="E42" i="29"/>
  <c r="D42" i="29"/>
  <c r="C42" i="29"/>
  <c r="E41" i="29"/>
  <c r="D41" i="29"/>
  <c r="C41" i="29"/>
  <c r="E40" i="29"/>
  <c r="D40" i="29"/>
  <c r="C40" i="29"/>
  <c r="E38" i="29"/>
  <c r="D38" i="29"/>
  <c r="C38" i="29"/>
  <c r="E37" i="29"/>
  <c r="D37" i="29"/>
  <c r="C37" i="29"/>
  <c r="E36" i="29"/>
  <c r="D36" i="29"/>
  <c r="C36" i="29"/>
  <c r="E35" i="29"/>
  <c r="D35" i="29"/>
  <c r="C35" i="29"/>
  <c r="E34" i="29"/>
  <c r="D34" i="29"/>
  <c r="C34" i="29"/>
  <c r="E33" i="29"/>
  <c r="D33" i="29"/>
  <c r="C33" i="29"/>
  <c r="E32" i="29"/>
  <c r="D32" i="29"/>
  <c r="C32" i="29"/>
  <c r="E31" i="29"/>
  <c r="D31" i="29"/>
  <c r="C31" i="29"/>
  <c r="E29" i="29"/>
  <c r="D29" i="29"/>
  <c r="E28" i="29"/>
  <c r="D28" i="29"/>
  <c r="E27" i="29"/>
  <c r="D27" i="29"/>
  <c r="E26" i="29"/>
  <c r="D26" i="29"/>
  <c r="E25" i="29"/>
  <c r="D25" i="29"/>
  <c r="E24" i="29"/>
  <c r="D24" i="29"/>
  <c r="E22" i="29"/>
  <c r="D22" i="29"/>
  <c r="E21" i="29"/>
  <c r="D21" i="29"/>
  <c r="E20" i="29"/>
  <c r="D20" i="29"/>
  <c r="E19" i="29"/>
  <c r="D19" i="29"/>
  <c r="C29" i="29"/>
  <c r="C28" i="29"/>
  <c r="C27" i="29"/>
  <c r="C26" i="29"/>
  <c r="C25" i="29"/>
  <c r="C24" i="29"/>
  <c r="C22" i="29"/>
  <c r="C21" i="29"/>
  <c r="C20" i="29"/>
  <c r="C19" i="29"/>
  <c r="C15" i="29"/>
  <c r="E5" i="29"/>
  <c r="E4" i="29"/>
  <c r="E3" i="29"/>
  <c r="J350" i="38" l="1"/>
  <c r="I350" i="38"/>
  <c r="H350" i="38"/>
  <c r="G350" i="38"/>
  <c r="F350" i="38"/>
  <c r="E350" i="38"/>
  <c r="D350" i="38"/>
  <c r="C350" i="38"/>
  <c r="B350" i="38"/>
  <c r="E337" i="38"/>
  <c r="D337" i="38"/>
  <c r="C337" i="38"/>
  <c r="B337" i="38"/>
  <c r="E336" i="38"/>
  <c r="D336" i="38"/>
  <c r="C336" i="38"/>
  <c r="B336" i="38"/>
  <c r="E335" i="38"/>
  <c r="D335" i="38"/>
  <c r="C335" i="38"/>
  <c r="B335" i="38"/>
  <c r="E334" i="38"/>
  <c r="D334" i="38"/>
  <c r="C334" i="38"/>
  <c r="B334" i="38"/>
  <c r="E333" i="38"/>
  <c r="D333" i="38"/>
  <c r="C333" i="38"/>
  <c r="B333" i="38"/>
  <c r="E332" i="38"/>
  <c r="D332" i="38"/>
  <c r="C332" i="38"/>
  <c r="B332" i="38"/>
  <c r="E331" i="38"/>
  <c r="D331" i="38"/>
  <c r="C331" i="38"/>
  <c r="B331" i="38"/>
  <c r="E330" i="38"/>
  <c r="D330" i="38"/>
  <c r="C330" i="38"/>
  <c r="B330" i="38"/>
  <c r="E329" i="38"/>
  <c r="D329" i="38"/>
  <c r="C329" i="38"/>
  <c r="B329" i="38"/>
  <c r="D322" i="38"/>
  <c r="C322" i="38"/>
  <c r="B322" i="38"/>
  <c r="D315" i="38"/>
  <c r="C315" i="38"/>
  <c r="B315" i="38"/>
  <c r="D308" i="38"/>
  <c r="C308" i="38"/>
  <c r="B308" i="38"/>
  <c r="D307" i="38"/>
  <c r="C307" i="38"/>
  <c r="B307" i="38"/>
  <c r="D306" i="38"/>
  <c r="C306" i="38"/>
  <c r="B306" i="38"/>
  <c r="D305" i="38"/>
  <c r="C305" i="38"/>
  <c r="B305" i="38"/>
  <c r="D300" i="38"/>
  <c r="C300" i="38"/>
  <c r="B300" i="38"/>
  <c r="D299" i="38"/>
  <c r="C299" i="38"/>
  <c r="B299" i="38"/>
  <c r="D298" i="38"/>
  <c r="C298" i="38"/>
  <c r="B298" i="38"/>
  <c r="D297" i="38"/>
  <c r="C297" i="38"/>
  <c r="B297" i="38"/>
  <c r="D296" i="38"/>
  <c r="C296" i="38"/>
  <c r="B296" i="38"/>
  <c r="D291" i="38"/>
  <c r="C291" i="38"/>
  <c r="B291" i="38"/>
  <c r="D290" i="38"/>
  <c r="C290" i="38"/>
  <c r="B290" i="38"/>
  <c r="D289" i="38"/>
  <c r="C289" i="38"/>
  <c r="B289" i="38"/>
  <c r="D288" i="38"/>
  <c r="C288" i="38"/>
  <c r="B288" i="38"/>
  <c r="D287" i="38"/>
  <c r="C287" i="38"/>
  <c r="B287" i="38"/>
  <c r="D286" i="38"/>
  <c r="C286" i="38"/>
  <c r="B286" i="38"/>
  <c r="D285" i="38"/>
  <c r="C285" i="38"/>
  <c r="B285" i="38"/>
  <c r="D284" i="38"/>
  <c r="C284" i="38"/>
  <c r="B284" i="38"/>
  <c r="D283" i="38"/>
  <c r="C283" i="38"/>
  <c r="B283" i="38"/>
  <c r="E278" i="38"/>
  <c r="D278" i="38"/>
  <c r="C278" i="38"/>
  <c r="B278" i="38"/>
  <c r="G277" i="38"/>
  <c r="F277" i="38"/>
  <c r="E277" i="38"/>
  <c r="D277" i="38"/>
  <c r="C277" i="38"/>
  <c r="B277" i="38"/>
  <c r="H276" i="38"/>
  <c r="G276" i="38"/>
  <c r="F276" i="38"/>
  <c r="E276" i="38"/>
  <c r="D276" i="38"/>
  <c r="C276" i="38"/>
  <c r="B276" i="38"/>
  <c r="I275" i="38"/>
  <c r="H275" i="38"/>
  <c r="G275" i="38"/>
  <c r="F275" i="38"/>
  <c r="E275" i="38"/>
  <c r="D275" i="38"/>
  <c r="C275" i="38"/>
  <c r="B275" i="38"/>
  <c r="E267" i="38"/>
  <c r="D267" i="38"/>
  <c r="C267" i="38"/>
  <c r="B267" i="38"/>
  <c r="B262"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C126" i="38"/>
  <c r="B126" i="38"/>
  <c r="C125" i="38"/>
  <c r="B125" i="38"/>
  <c r="C124" i="38"/>
  <c r="C123" i="38"/>
  <c r="B123" i="38"/>
  <c r="C122" i="38"/>
  <c r="B122" i="38"/>
  <c r="F116" i="38"/>
  <c r="E116" i="38"/>
  <c r="D116" i="38"/>
  <c r="C116" i="38"/>
  <c r="H110" i="38"/>
  <c r="G110" i="38"/>
  <c r="F110" i="38"/>
  <c r="E110" i="38"/>
  <c r="D110" i="38"/>
  <c r="C110" i="38"/>
  <c r="B110" i="38"/>
  <c r="F63" i="38"/>
  <c r="E63" i="38"/>
  <c r="D63" i="38"/>
  <c r="C63" i="38"/>
  <c r="B63" i="38"/>
  <c r="I58" i="38"/>
  <c r="H58" i="38"/>
  <c r="G58" i="38"/>
  <c r="F58" i="38"/>
  <c r="E58" i="38"/>
  <c r="D58" i="38"/>
  <c r="C58" i="38"/>
  <c r="B58" i="38"/>
  <c r="B53" i="38"/>
  <c r="B52" i="38"/>
  <c r="B51" i="38"/>
  <c r="B50" i="38"/>
  <c r="B49" i="38"/>
  <c r="B48" i="38"/>
  <c r="B47" i="38"/>
  <c r="B46" i="38"/>
  <c r="B41" i="38"/>
  <c r="B36" i="38"/>
  <c r="B29" i="38"/>
  <c r="B27" i="38"/>
  <c r="B25" i="38"/>
  <c r="B24" i="38"/>
  <c r="F14" i="38"/>
  <c r="E14" i="38"/>
  <c r="C14" i="38"/>
  <c r="B14" i="38"/>
  <c r="D7" i="38"/>
  <c r="C7" i="38"/>
  <c r="B7" i="38"/>
  <c r="J350" i="37"/>
  <c r="I350" i="37"/>
  <c r="H350" i="37"/>
  <c r="G350" i="37"/>
  <c r="F350" i="37"/>
  <c r="E350" i="37"/>
  <c r="D350" i="37"/>
  <c r="C350" i="37"/>
  <c r="B350" i="37"/>
  <c r="E337" i="37"/>
  <c r="D337" i="37"/>
  <c r="C337" i="37"/>
  <c r="B337" i="37"/>
  <c r="E336" i="37"/>
  <c r="D336" i="37"/>
  <c r="C336" i="37"/>
  <c r="B336" i="37"/>
  <c r="E335" i="37"/>
  <c r="D335" i="37"/>
  <c r="C335" i="37"/>
  <c r="B335" i="37"/>
  <c r="E334" i="37"/>
  <c r="D334" i="37"/>
  <c r="C334" i="37"/>
  <c r="B334" i="37"/>
  <c r="E333" i="37"/>
  <c r="D333" i="37"/>
  <c r="C333" i="37"/>
  <c r="B333" i="37"/>
  <c r="E332" i="37"/>
  <c r="D332" i="37"/>
  <c r="C332" i="37"/>
  <c r="B332" i="37"/>
  <c r="E331" i="37"/>
  <c r="D331" i="37"/>
  <c r="C331" i="37"/>
  <c r="B331" i="37"/>
  <c r="E330" i="37"/>
  <c r="D330" i="37"/>
  <c r="C330" i="37"/>
  <c r="B330" i="37"/>
  <c r="E329" i="37"/>
  <c r="D329" i="37"/>
  <c r="C329" i="37"/>
  <c r="B329" i="37"/>
  <c r="D322" i="37"/>
  <c r="C322" i="37"/>
  <c r="B322" i="37"/>
  <c r="D315" i="37"/>
  <c r="C315" i="37"/>
  <c r="B315" i="37"/>
  <c r="D308" i="37"/>
  <c r="C308" i="37"/>
  <c r="B308" i="37"/>
  <c r="D307" i="37"/>
  <c r="C307" i="37"/>
  <c r="B307" i="37"/>
  <c r="D306" i="37"/>
  <c r="C306" i="37"/>
  <c r="B306" i="37"/>
  <c r="D305" i="37"/>
  <c r="C305" i="37"/>
  <c r="B305" i="37"/>
  <c r="D300" i="37"/>
  <c r="C300" i="37"/>
  <c r="B300" i="37"/>
  <c r="D299" i="37"/>
  <c r="C299" i="37"/>
  <c r="B299" i="37"/>
  <c r="D298" i="37"/>
  <c r="C298" i="37"/>
  <c r="B298" i="37"/>
  <c r="D297" i="37"/>
  <c r="C297" i="37"/>
  <c r="B297" i="37"/>
  <c r="D296" i="37"/>
  <c r="C296" i="37"/>
  <c r="B296" i="37"/>
  <c r="D291" i="37"/>
  <c r="C291" i="37"/>
  <c r="B291" i="37"/>
  <c r="D290" i="37"/>
  <c r="C290" i="37"/>
  <c r="B290" i="37"/>
  <c r="D289" i="37"/>
  <c r="C289" i="37"/>
  <c r="B289" i="37"/>
  <c r="D288" i="37"/>
  <c r="C288" i="37"/>
  <c r="B288" i="37"/>
  <c r="D287" i="37"/>
  <c r="C287" i="37"/>
  <c r="B287" i="37"/>
  <c r="D286" i="37"/>
  <c r="C286" i="37"/>
  <c r="B286" i="37"/>
  <c r="D285" i="37"/>
  <c r="C285" i="37"/>
  <c r="B285" i="37"/>
  <c r="D284" i="37"/>
  <c r="C284" i="37"/>
  <c r="B284" i="37"/>
  <c r="D283" i="37"/>
  <c r="C283" i="37"/>
  <c r="B283" i="37"/>
  <c r="E278" i="37"/>
  <c r="D278" i="37"/>
  <c r="C278" i="37"/>
  <c r="B278" i="37"/>
  <c r="G277" i="37"/>
  <c r="F277" i="37"/>
  <c r="E277" i="37"/>
  <c r="D277" i="37"/>
  <c r="C277" i="37"/>
  <c r="B277" i="37"/>
  <c r="H276" i="37"/>
  <c r="G276" i="37"/>
  <c r="F276" i="37"/>
  <c r="E276" i="37"/>
  <c r="D276" i="37"/>
  <c r="C276" i="37"/>
  <c r="B276" i="37"/>
  <c r="I275" i="37"/>
  <c r="H275" i="37"/>
  <c r="G275" i="37"/>
  <c r="F275" i="37"/>
  <c r="E275" i="37"/>
  <c r="D275" i="37"/>
  <c r="C275" i="37"/>
  <c r="B275" i="37"/>
  <c r="E267" i="37"/>
  <c r="D267" i="37"/>
  <c r="C267" i="37"/>
  <c r="B267" i="37"/>
  <c r="B262" i="37"/>
  <c r="C140" i="37"/>
  <c r="B140" i="37"/>
  <c r="C139" i="37"/>
  <c r="B139" i="37"/>
  <c r="C138" i="37"/>
  <c r="B138" i="37"/>
  <c r="C137" i="37"/>
  <c r="B137" i="37"/>
  <c r="C136" i="37"/>
  <c r="B136" i="37"/>
  <c r="C135" i="37"/>
  <c r="B135" i="37"/>
  <c r="C134" i="37"/>
  <c r="B134" i="37"/>
  <c r="C133" i="37"/>
  <c r="B133" i="37"/>
  <c r="C132" i="37"/>
  <c r="B132" i="37"/>
  <c r="C131" i="37"/>
  <c r="B131" i="37"/>
  <c r="C130" i="37"/>
  <c r="B130" i="37"/>
  <c r="C129" i="37"/>
  <c r="B129" i="37"/>
  <c r="C128" i="37"/>
  <c r="B128" i="37"/>
  <c r="C127" i="37"/>
  <c r="C126" i="37"/>
  <c r="B126" i="37"/>
  <c r="C125" i="37"/>
  <c r="B125" i="37"/>
  <c r="C124" i="37"/>
  <c r="C123" i="37"/>
  <c r="B123" i="37"/>
  <c r="C122" i="37"/>
  <c r="B122" i="37"/>
  <c r="F116" i="37"/>
  <c r="E116" i="37"/>
  <c r="D116" i="37"/>
  <c r="C116" i="37"/>
  <c r="H110" i="37"/>
  <c r="G110" i="37"/>
  <c r="F110" i="37"/>
  <c r="E110" i="37"/>
  <c r="D110" i="37"/>
  <c r="C110" i="37"/>
  <c r="B110" i="37"/>
  <c r="F63" i="37"/>
  <c r="E63" i="37"/>
  <c r="D63" i="37"/>
  <c r="C63" i="37"/>
  <c r="B63" i="37"/>
  <c r="I58" i="37"/>
  <c r="H58" i="37"/>
  <c r="G58" i="37"/>
  <c r="F58" i="37"/>
  <c r="E58" i="37"/>
  <c r="D58" i="37"/>
  <c r="C58" i="37"/>
  <c r="B58" i="37"/>
  <c r="B53" i="37"/>
  <c r="B52" i="37"/>
  <c r="B51" i="37"/>
  <c r="B50" i="37"/>
  <c r="B49" i="37"/>
  <c r="B48" i="37"/>
  <c r="B47" i="37"/>
  <c r="B46" i="37"/>
  <c r="B41" i="37"/>
  <c r="B36" i="37"/>
  <c r="B29" i="37"/>
  <c r="B27" i="37"/>
  <c r="B25" i="37"/>
  <c r="B24" i="37"/>
  <c r="F14" i="37"/>
  <c r="E14" i="37"/>
  <c r="C14" i="37"/>
  <c r="B14" i="37"/>
  <c r="D7" i="37"/>
  <c r="C7" i="37"/>
  <c r="B7" i="37"/>
  <c r="J350" i="36"/>
  <c r="I350" i="36"/>
  <c r="H350" i="36"/>
  <c r="G350" i="36"/>
  <c r="F350" i="36"/>
  <c r="E350" i="36"/>
  <c r="D350" i="36"/>
  <c r="C350" i="36"/>
  <c r="B350" i="36"/>
  <c r="E337" i="36"/>
  <c r="D337" i="36"/>
  <c r="C337" i="36"/>
  <c r="B337" i="36"/>
  <c r="E336" i="36"/>
  <c r="D336" i="36"/>
  <c r="C336" i="36"/>
  <c r="B336" i="36"/>
  <c r="E335" i="36"/>
  <c r="D335" i="36"/>
  <c r="C335" i="36"/>
  <c r="B335" i="36"/>
  <c r="E334" i="36"/>
  <c r="D334" i="36"/>
  <c r="C334" i="36"/>
  <c r="B334" i="36"/>
  <c r="E333" i="36"/>
  <c r="D333" i="36"/>
  <c r="C333" i="36"/>
  <c r="B333" i="36"/>
  <c r="E332" i="36"/>
  <c r="D332" i="36"/>
  <c r="C332" i="36"/>
  <c r="B332" i="36"/>
  <c r="E331" i="36"/>
  <c r="D331" i="36"/>
  <c r="C331" i="36"/>
  <c r="B331" i="36"/>
  <c r="E330" i="36"/>
  <c r="D330" i="36"/>
  <c r="C330" i="36"/>
  <c r="B330" i="36"/>
  <c r="E329" i="36"/>
  <c r="D329" i="36"/>
  <c r="C329" i="36"/>
  <c r="B329" i="36"/>
  <c r="D322" i="36"/>
  <c r="C322" i="36"/>
  <c r="B322" i="36"/>
  <c r="D315" i="36"/>
  <c r="C315" i="36"/>
  <c r="B315" i="36"/>
  <c r="D308" i="36"/>
  <c r="C308" i="36"/>
  <c r="B308" i="36"/>
  <c r="D307" i="36"/>
  <c r="C307" i="36"/>
  <c r="B307" i="36"/>
  <c r="D306" i="36"/>
  <c r="C306" i="36"/>
  <c r="B306" i="36"/>
  <c r="D305" i="36"/>
  <c r="C305" i="36"/>
  <c r="B305" i="36"/>
  <c r="D300" i="36"/>
  <c r="C300" i="36"/>
  <c r="B300" i="36"/>
  <c r="D299" i="36"/>
  <c r="C299" i="36"/>
  <c r="B299" i="36"/>
  <c r="D298" i="36"/>
  <c r="C298" i="36"/>
  <c r="B298" i="36"/>
  <c r="D297" i="36"/>
  <c r="C297" i="36"/>
  <c r="B297" i="36"/>
  <c r="D296" i="36"/>
  <c r="C296" i="36"/>
  <c r="B296" i="36"/>
  <c r="D291" i="36"/>
  <c r="C291" i="36"/>
  <c r="B291" i="36"/>
  <c r="D290" i="36"/>
  <c r="C290" i="36"/>
  <c r="B290" i="36"/>
  <c r="D289" i="36"/>
  <c r="C289" i="36"/>
  <c r="B289" i="36"/>
  <c r="D288" i="36"/>
  <c r="C288" i="36"/>
  <c r="B288" i="36"/>
  <c r="D287" i="36"/>
  <c r="C287" i="36"/>
  <c r="B287" i="36"/>
  <c r="D286" i="36"/>
  <c r="C286" i="36"/>
  <c r="B286" i="36"/>
  <c r="D285" i="36"/>
  <c r="C285" i="36"/>
  <c r="B285" i="36"/>
  <c r="D284" i="36"/>
  <c r="C284" i="36"/>
  <c r="B284" i="36"/>
  <c r="D283" i="36"/>
  <c r="C283" i="36"/>
  <c r="B283" i="36"/>
  <c r="E278" i="36"/>
  <c r="D278" i="36"/>
  <c r="C278" i="36"/>
  <c r="B278" i="36"/>
  <c r="G277" i="36"/>
  <c r="F277" i="36"/>
  <c r="E277" i="36"/>
  <c r="D277" i="36"/>
  <c r="C277" i="36"/>
  <c r="B277" i="36"/>
  <c r="H276" i="36"/>
  <c r="G276" i="36"/>
  <c r="F276" i="36"/>
  <c r="E276" i="36"/>
  <c r="D276" i="36"/>
  <c r="C276" i="36"/>
  <c r="B276" i="36"/>
  <c r="I275" i="36"/>
  <c r="H275" i="36"/>
  <c r="G275" i="36"/>
  <c r="F275" i="36"/>
  <c r="E275" i="36"/>
  <c r="D275" i="36"/>
  <c r="C275" i="36"/>
  <c r="B275" i="36"/>
  <c r="E267" i="36"/>
  <c r="D267" i="36"/>
  <c r="C267" i="36"/>
  <c r="B267" i="36"/>
  <c r="B262" i="36"/>
  <c r="C140" i="36"/>
  <c r="B140" i="36"/>
  <c r="C139" i="36"/>
  <c r="B139" i="36"/>
  <c r="C138" i="36"/>
  <c r="B138" i="36"/>
  <c r="C137" i="36"/>
  <c r="B137" i="36"/>
  <c r="C136" i="36"/>
  <c r="B136" i="36"/>
  <c r="C135" i="36"/>
  <c r="B135" i="36"/>
  <c r="C134" i="36"/>
  <c r="B134" i="36"/>
  <c r="C133" i="36"/>
  <c r="B133" i="36"/>
  <c r="C132" i="36"/>
  <c r="B132" i="36"/>
  <c r="C131" i="36"/>
  <c r="B131" i="36"/>
  <c r="C130" i="36"/>
  <c r="B130" i="36"/>
  <c r="C129" i="36"/>
  <c r="B129" i="36"/>
  <c r="C128" i="36"/>
  <c r="B128" i="36"/>
  <c r="C127" i="36"/>
  <c r="C126" i="36"/>
  <c r="B126" i="36"/>
  <c r="C125" i="36"/>
  <c r="B125" i="36"/>
  <c r="C124" i="36"/>
  <c r="C123" i="36"/>
  <c r="B123" i="36"/>
  <c r="C122" i="36"/>
  <c r="B122" i="36"/>
  <c r="F116" i="36"/>
  <c r="E116" i="36"/>
  <c r="D116" i="36"/>
  <c r="C116" i="36"/>
  <c r="H110" i="36"/>
  <c r="G110" i="36"/>
  <c r="F110" i="36"/>
  <c r="E110" i="36"/>
  <c r="D110" i="36"/>
  <c r="C110" i="36"/>
  <c r="B110" i="36"/>
  <c r="F63" i="36"/>
  <c r="E63" i="36"/>
  <c r="D63" i="36"/>
  <c r="C63" i="36"/>
  <c r="B63" i="36"/>
  <c r="I58" i="36"/>
  <c r="H58" i="36"/>
  <c r="G58" i="36"/>
  <c r="F58" i="36"/>
  <c r="E58" i="36"/>
  <c r="D58" i="36"/>
  <c r="C58" i="36"/>
  <c r="B58" i="36"/>
  <c r="B53" i="36"/>
  <c r="B52" i="36"/>
  <c r="B51" i="36"/>
  <c r="B50" i="36"/>
  <c r="B49" i="36"/>
  <c r="B48" i="36"/>
  <c r="B47" i="36"/>
  <c r="B46" i="36"/>
  <c r="B41" i="36"/>
  <c r="B36" i="36"/>
  <c r="B29" i="36"/>
  <c r="B27" i="36"/>
  <c r="B25" i="36"/>
  <c r="B24" i="36"/>
  <c r="F14" i="36"/>
  <c r="E14" i="36"/>
  <c r="C14" i="36"/>
  <c r="B14" i="36"/>
  <c r="D7" i="36"/>
  <c r="C7" i="36"/>
  <c r="B7" i="36"/>
  <c r="J350" i="35"/>
  <c r="I350" i="35"/>
  <c r="H350" i="35"/>
  <c r="G350" i="35"/>
  <c r="F350" i="35"/>
  <c r="E350" i="35"/>
  <c r="D350" i="35"/>
  <c r="C350" i="35"/>
  <c r="B350" i="35"/>
  <c r="E337" i="35"/>
  <c r="D337" i="35"/>
  <c r="C337" i="35"/>
  <c r="B337" i="35"/>
  <c r="E336" i="35"/>
  <c r="D336" i="35"/>
  <c r="C336" i="35"/>
  <c r="B336" i="35"/>
  <c r="E335" i="35"/>
  <c r="D335" i="35"/>
  <c r="C335" i="35"/>
  <c r="B335" i="35"/>
  <c r="E334" i="35"/>
  <c r="D334" i="35"/>
  <c r="C334" i="35"/>
  <c r="B334" i="35"/>
  <c r="E333" i="35"/>
  <c r="D333" i="35"/>
  <c r="C333" i="35"/>
  <c r="B333" i="35"/>
  <c r="E332" i="35"/>
  <c r="D332" i="35"/>
  <c r="C332" i="35"/>
  <c r="B332" i="35"/>
  <c r="E331" i="35"/>
  <c r="D331" i="35"/>
  <c r="C331" i="35"/>
  <c r="B331" i="35"/>
  <c r="E330" i="35"/>
  <c r="D330" i="35"/>
  <c r="C330" i="35"/>
  <c r="B330" i="35"/>
  <c r="E329" i="35"/>
  <c r="D329" i="35"/>
  <c r="C329" i="35"/>
  <c r="B329" i="35"/>
  <c r="D322" i="35"/>
  <c r="C322" i="35"/>
  <c r="B322" i="35"/>
  <c r="D315" i="35"/>
  <c r="C315" i="35"/>
  <c r="B315" i="35"/>
  <c r="D308" i="35"/>
  <c r="C308" i="35"/>
  <c r="B308" i="35"/>
  <c r="D307" i="35"/>
  <c r="C307" i="35"/>
  <c r="B307" i="35"/>
  <c r="D306" i="35"/>
  <c r="C306" i="35"/>
  <c r="B306" i="35"/>
  <c r="D305" i="35"/>
  <c r="C305" i="35"/>
  <c r="B305" i="35"/>
  <c r="D300" i="35"/>
  <c r="C300" i="35"/>
  <c r="B300" i="35"/>
  <c r="D299" i="35"/>
  <c r="C299" i="35"/>
  <c r="B299" i="35"/>
  <c r="D298" i="35"/>
  <c r="C298" i="35"/>
  <c r="B298" i="35"/>
  <c r="D297" i="35"/>
  <c r="C297" i="35"/>
  <c r="B297" i="35"/>
  <c r="D296" i="35"/>
  <c r="C296" i="35"/>
  <c r="B296" i="35"/>
  <c r="D291" i="35"/>
  <c r="C291" i="35"/>
  <c r="B291" i="35"/>
  <c r="D290" i="35"/>
  <c r="C290" i="35"/>
  <c r="B290" i="35"/>
  <c r="D289" i="35"/>
  <c r="C289" i="35"/>
  <c r="B289" i="35"/>
  <c r="D288" i="35"/>
  <c r="C288" i="35"/>
  <c r="B288" i="35"/>
  <c r="D287" i="35"/>
  <c r="C287" i="35"/>
  <c r="B287" i="35"/>
  <c r="D286" i="35"/>
  <c r="C286" i="35"/>
  <c r="B286" i="35"/>
  <c r="D285" i="35"/>
  <c r="C285" i="35"/>
  <c r="B285" i="35"/>
  <c r="D284" i="35"/>
  <c r="C284" i="35"/>
  <c r="B284" i="35"/>
  <c r="D283" i="35"/>
  <c r="C283" i="35"/>
  <c r="B283" i="35"/>
  <c r="E278" i="35"/>
  <c r="D278" i="35"/>
  <c r="C278" i="35"/>
  <c r="B278" i="35"/>
  <c r="G277" i="35"/>
  <c r="F277" i="35"/>
  <c r="E277" i="35"/>
  <c r="D277" i="35"/>
  <c r="C277" i="35"/>
  <c r="B277" i="35"/>
  <c r="H276" i="35"/>
  <c r="G276" i="35"/>
  <c r="F276" i="35"/>
  <c r="E276" i="35"/>
  <c r="D276" i="35"/>
  <c r="C276" i="35"/>
  <c r="B276" i="35"/>
  <c r="I275" i="35"/>
  <c r="H275" i="35"/>
  <c r="G275" i="35"/>
  <c r="F275" i="35"/>
  <c r="E275" i="35"/>
  <c r="D275" i="35"/>
  <c r="C275" i="35"/>
  <c r="B275" i="35"/>
  <c r="E267" i="35"/>
  <c r="D267" i="35"/>
  <c r="C267" i="35"/>
  <c r="B267" i="35"/>
  <c r="B262" i="35"/>
  <c r="C140" i="35"/>
  <c r="B140" i="35"/>
  <c r="C139" i="35"/>
  <c r="B139" i="35"/>
  <c r="C138" i="35"/>
  <c r="B138" i="35"/>
  <c r="C137" i="35"/>
  <c r="B137" i="35"/>
  <c r="C136" i="35"/>
  <c r="B136" i="35"/>
  <c r="C135" i="35"/>
  <c r="B135" i="35"/>
  <c r="C134" i="35"/>
  <c r="B134" i="35"/>
  <c r="C133" i="35"/>
  <c r="B133" i="35"/>
  <c r="C132" i="35"/>
  <c r="B132" i="35"/>
  <c r="C131" i="35"/>
  <c r="B131" i="35"/>
  <c r="C130" i="35"/>
  <c r="B130" i="35"/>
  <c r="C129" i="35"/>
  <c r="B129" i="35"/>
  <c r="C128" i="35"/>
  <c r="B128" i="35"/>
  <c r="C127" i="35"/>
  <c r="C126" i="35"/>
  <c r="B126" i="35"/>
  <c r="C125" i="35"/>
  <c r="B125" i="35"/>
  <c r="C124" i="35"/>
  <c r="C123" i="35"/>
  <c r="B123" i="35"/>
  <c r="C122" i="35"/>
  <c r="B122" i="35"/>
  <c r="F116" i="35"/>
  <c r="E116" i="35"/>
  <c r="D116" i="35"/>
  <c r="C116" i="35"/>
  <c r="H110" i="35"/>
  <c r="G110" i="35"/>
  <c r="F110" i="35"/>
  <c r="E110" i="35"/>
  <c r="D110" i="35"/>
  <c r="C110" i="35"/>
  <c r="B110" i="35"/>
  <c r="F63" i="35"/>
  <c r="E63" i="35"/>
  <c r="D63" i="35"/>
  <c r="C63" i="35"/>
  <c r="B63" i="35"/>
  <c r="I58" i="35"/>
  <c r="H58" i="35"/>
  <c r="G58" i="35"/>
  <c r="F58" i="35"/>
  <c r="E58" i="35"/>
  <c r="D58" i="35"/>
  <c r="C58" i="35"/>
  <c r="B58" i="35"/>
  <c r="B53" i="35"/>
  <c r="B52" i="35"/>
  <c r="B51" i="35"/>
  <c r="B50" i="35"/>
  <c r="B49" i="35"/>
  <c r="B48" i="35"/>
  <c r="B47" i="35"/>
  <c r="B46" i="35"/>
  <c r="B41" i="35"/>
  <c r="B36" i="35"/>
  <c r="B29" i="35"/>
  <c r="B27" i="35"/>
  <c r="B25" i="35"/>
  <c r="B24" i="35"/>
  <c r="F14" i="35"/>
  <c r="E14" i="35"/>
  <c r="C14" i="35"/>
  <c r="B14" i="35"/>
  <c r="D7" i="35"/>
  <c r="C7" i="35"/>
  <c r="B7" i="35"/>
  <c r="B7" i="34"/>
  <c r="AL129" i="32" l="1"/>
  <c r="AL124" i="32"/>
  <c r="AL119" i="32"/>
  <c r="AL114" i="32"/>
  <c r="AL113" i="32"/>
  <c r="AL107" i="32"/>
  <c r="AK77" i="32"/>
  <c r="AK74" i="32"/>
  <c r="AK70" i="32"/>
  <c r="AE129" i="32"/>
  <c r="AE124" i="32"/>
  <c r="AE119" i="32"/>
  <c r="AE114" i="32"/>
  <c r="AE113" i="32"/>
  <c r="AE107" i="32"/>
  <c r="AD77" i="32"/>
  <c r="AD74" i="32"/>
  <c r="AD70" i="32"/>
  <c r="X129" i="32"/>
  <c r="X124" i="32"/>
  <c r="X119" i="32"/>
  <c r="X114" i="32"/>
  <c r="X113" i="32"/>
  <c r="X107" i="32"/>
  <c r="W77" i="32"/>
  <c r="W74" i="32"/>
  <c r="W70" i="32"/>
  <c r="Q134" i="32"/>
  <c r="X134" i="32" s="1"/>
  <c r="AE134" i="32" s="1"/>
  <c r="AL134" i="32" s="1"/>
  <c r="Q133" i="32"/>
  <c r="X133" i="32" s="1"/>
  <c r="AE133" i="32" s="1"/>
  <c r="AL133" i="32" s="1"/>
  <c r="Q129" i="32"/>
  <c r="Q128" i="32"/>
  <c r="X128" i="32" s="1"/>
  <c r="AE128" i="32" s="1"/>
  <c r="AL128" i="32" s="1"/>
  <c r="Q124" i="32"/>
  <c r="Q123" i="32"/>
  <c r="X123" i="32" s="1"/>
  <c r="AE123" i="32" s="1"/>
  <c r="AL123" i="32" s="1"/>
  <c r="Q119" i="32"/>
  <c r="Q118" i="32"/>
  <c r="X118" i="32" s="1"/>
  <c r="AE118" i="32" s="1"/>
  <c r="AL118" i="32" s="1"/>
  <c r="Q114" i="32"/>
  <c r="Q113" i="32"/>
  <c r="Q112" i="32"/>
  <c r="X112" i="32" s="1"/>
  <c r="AE112" i="32" s="1"/>
  <c r="AL112" i="32" s="1"/>
  <c r="Q108" i="32"/>
  <c r="X108" i="32" s="1"/>
  <c r="AE108" i="32" s="1"/>
  <c r="AL108" i="32" s="1"/>
  <c r="Q107" i="32"/>
  <c r="Q106" i="32"/>
  <c r="X106" i="32" s="1"/>
  <c r="AE106" i="32" s="1"/>
  <c r="AL106" i="32" s="1"/>
  <c r="Q77" i="32"/>
  <c r="X77" i="32" s="1"/>
  <c r="AE77" i="32" s="1"/>
  <c r="AL77" i="32" s="1"/>
  <c r="P77" i="32"/>
  <c r="Q76" i="32"/>
  <c r="X76" i="32" s="1"/>
  <c r="AE76" i="32" s="1"/>
  <c r="AL76" i="32" s="1"/>
  <c r="P76" i="32"/>
  <c r="W76" i="32" s="1"/>
  <c r="AD76" i="32" s="1"/>
  <c r="AK76" i="32" s="1"/>
  <c r="Q74" i="32"/>
  <c r="X74" i="32" s="1"/>
  <c r="AE74" i="32" s="1"/>
  <c r="AL74" i="32" s="1"/>
  <c r="P74" i="32"/>
  <c r="Q73" i="32"/>
  <c r="X73" i="32" s="1"/>
  <c r="AE73" i="32" s="1"/>
  <c r="AL73" i="32" s="1"/>
  <c r="P73" i="32"/>
  <c r="W73" i="32" s="1"/>
  <c r="AD73" i="32" s="1"/>
  <c r="AK73" i="32" s="1"/>
  <c r="Q71" i="32"/>
  <c r="X71" i="32" s="1"/>
  <c r="AE71" i="32" s="1"/>
  <c r="AL71" i="32" s="1"/>
  <c r="P71" i="32"/>
  <c r="W71" i="32" s="1"/>
  <c r="AD71" i="32" s="1"/>
  <c r="AK71" i="32" s="1"/>
  <c r="Q70" i="32"/>
  <c r="X70" i="32" s="1"/>
  <c r="AE70" i="32" s="1"/>
  <c r="AL70" i="32" s="1"/>
  <c r="P70" i="32"/>
  <c r="Q69" i="32"/>
  <c r="X69" i="32" s="1"/>
  <c r="AE69" i="32" s="1"/>
  <c r="AL69" i="32" s="1"/>
  <c r="P69" i="32"/>
  <c r="W69" i="32" s="1"/>
  <c r="AD69" i="32" s="1"/>
  <c r="AK69" i="32" s="1"/>
  <c r="K30" i="32"/>
  <c r="L30" i="32"/>
  <c r="M30" i="32"/>
  <c r="N30" i="32"/>
  <c r="U30" i="32" s="1"/>
  <c r="AB30" i="32" s="1"/>
  <c r="AI30" i="32" s="1"/>
  <c r="O30" i="32"/>
  <c r="R30" i="32"/>
  <c r="S30" i="32"/>
  <c r="T30" i="32"/>
  <c r="V30" i="32"/>
  <c r="Y30" i="32"/>
  <c r="Z30" i="32"/>
  <c r="AA30" i="32"/>
  <c r="AC30" i="32"/>
  <c r="AF30" i="32"/>
  <c r="AG30" i="32"/>
  <c r="AH30" i="32"/>
  <c r="AJ30" i="32"/>
  <c r="K31" i="32"/>
  <c r="L31" i="32"/>
  <c r="M31" i="32"/>
  <c r="N31" i="32"/>
  <c r="U31" i="32" s="1"/>
  <c r="AB31" i="32" s="1"/>
  <c r="AI31" i="32" s="1"/>
  <c r="O31" i="32"/>
  <c r="R31" i="32"/>
  <c r="S31" i="32"/>
  <c r="T31" i="32"/>
  <c r="V31" i="32"/>
  <c r="Y31" i="32"/>
  <c r="Z31" i="32"/>
  <c r="AA31" i="32"/>
  <c r="AC31" i="32"/>
  <c r="AF31" i="32"/>
  <c r="AG31" i="32"/>
  <c r="AH31" i="32"/>
  <c r="AJ31" i="32"/>
  <c r="K32" i="32"/>
  <c r="L32" i="32"/>
  <c r="M32" i="32"/>
  <c r="N32" i="32"/>
  <c r="O32" i="32"/>
  <c r="R32" i="32"/>
  <c r="S32" i="32"/>
  <c r="T32" i="32"/>
  <c r="U32" i="32"/>
  <c r="V32" i="32"/>
  <c r="Y32" i="32"/>
  <c r="Z32" i="32"/>
  <c r="AA32" i="32"/>
  <c r="AB32" i="32"/>
  <c r="AC32" i="32"/>
  <c r="AF32" i="32"/>
  <c r="AG32" i="32"/>
  <c r="AH32" i="32"/>
  <c r="AI32" i="32"/>
  <c r="AJ32" i="32"/>
  <c r="K33" i="32"/>
  <c r="L33" i="32"/>
  <c r="M33" i="32"/>
  <c r="N33" i="32"/>
  <c r="U33" i="32" s="1"/>
  <c r="AB33" i="32" s="1"/>
  <c r="AI33" i="32" s="1"/>
  <c r="O33" i="32"/>
  <c r="R33" i="32"/>
  <c r="S33" i="32"/>
  <c r="T33" i="32"/>
  <c r="V33" i="32"/>
  <c r="Y33" i="32"/>
  <c r="Z33" i="32"/>
  <c r="AG33" i="32" s="1"/>
  <c r="AA33" i="32"/>
  <c r="AC33" i="32"/>
  <c r="AF33" i="32"/>
  <c r="AH33" i="32"/>
  <c r="AJ33" i="32"/>
  <c r="K34" i="32"/>
  <c r="L34" i="32"/>
  <c r="M34" i="32"/>
  <c r="N34" i="32"/>
  <c r="U34" i="32" s="1"/>
  <c r="AB34" i="32" s="1"/>
  <c r="AI34" i="32" s="1"/>
  <c r="O34" i="32"/>
  <c r="R34" i="32"/>
  <c r="S34" i="32"/>
  <c r="T34" i="32"/>
  <c r="V34" i="32"/>
  <c r="Y34" i="32"/>
  <c r="Z34" i="32"/>
  <c r="AG34" i="32" s="1"/>
  <c r="AA34" i="32"/>
  <c r="AC34" i="32"/>
  <c r="AF34" i="32"/>
  <c r="AH34" i="32"/>
  <c r="AJ34" i="32"/>
  <c r="K35" i="32"/>
  <c r="L35" i="32"/>
  <c r="M35" i="32"/>
  <c r="N35" i="32"/>
  <c r="U35" i="32" s="1"/>
  <c r="AB35" i="32" s="1"/>
  <c r="AI35" i="32" s="1"/>
  <c r="O35" i="32"/>
  <c r="R35" i="32"/>
  <c r="S35" i="32"/>
  <c r="T35" i="32"/>
  <c r="V35" i="32"/>
  <c r="Y35" i="32"/>
  <c r="Z35" i="32"/>
  <c r="AG35" i="32" s="1"/>
  <c r="AA35" i="32"/>
  <c r="AC35" i="32"/>
  <c r="AF35" i="32"/>
  <c r="AH35" i="32"/>
  <c r="AJ35" i="32"/>
  <c r="K36" i="32"/>
  <c r="L36" i="32"/>
  <c r="M36" i="32"/>
  <c r="N36" i="32"/>
  <c r="O36" i="32"/>
  <c r="R36" i="32"/>
  <c r="S36" i="32"/>
  <c r="T36" i="32"/>
  <c r="U36" i="32"/>
  <c r="V36" i="32"/>
  <c r="Y36" i="32"/>
  <c r="Z36" i="32"/>
  <c r="AA36" i="32"/>
  <c r="AB36" i="32"/>
  <c r="AC36" i="32"/>
  <c r="AF36" i="32"/>
  <c r="AG36" i="32"/>
  <c r="AH36" i="32"/>
  <c r="AI36" i="32"/>
  <c r="AJ36" i="32"/>
  <c r="K37" i="32"/>
  <c r="L37" i="32"/>
  <c r="M37" i="32"/>
  <c r="N37" i="32"/>
  <c r="U37" i="32" s="1"/>
  <c r="AB37" i="32" s="1"/>
  <c r="AI37" i="32" s="1"/>
  <c r="O37" i="32"/>
  <c r="R37" i="32"/>
  <c r="S37" i="32"/>
  <c r="T37" i="32"/>
  <c r="V37" i="32"/>
  <c r="Y37" i="32"/>
  <c r="Z37" i="32"/>
  <c r="AA37" i="32"/>
  <c r="AC37" i="32"/>
  <c r="AF37" i="32"/>
  <c r="AG37" i="32"/>
  <c r="AH37" i="32"/>
  <c r="AJ37" i="32"/>
  <c r="K38" i="32"/>
  <c r="L38" i="32"/>
  <c r="M38" i="32"/>
  <c r="N38" i="32"/>
  <c r="O38" i="32"/>
  <c r="R38" i="32"/>
  <c r="S38" i="32"/>
  <c r="T38" i="32"/>
  <c r="U38" i="32"/>
  <c r="V38" i="32"/>
  <c r="Y38" i="32"/>
  <c r="Z38" i="32"/>
  <c r="AA38" i="32"/>
  <c r="AB38" i="32"/>
  <c r="AC38" i="32"/>
  <c r="AF38" i="32"/>
  <c r="AG38" i="32"/>
  <c r="AH38" i="32"/>
  <c r="AI38" i="32"/>
  <c r="AJ38" i="32"/>
  <c r="K39" i="32"/>
  <c r="L39" i="32"/>
  <c r="M39" i="32"/>
  <c r="N39" i="32"/>
  <c r="O39" i="32"/>
  <c r="R39" i="32"/>
  <c r="S39" i="32"/>
  <c r="T39" i="32"/>
  <c r="U39" i="32"/>
  <c r="V39" i="32"/>
  <c r="Y39" i="32"/>
  <c r="Z39" i="32"/>
  <c r="AA39" i="32"/>
  <c r="AB39" i="32"/>
  <c r="AC39" i="32"/>
  <c r="AF39" i="32"/>
  <c r="AG39" i="32"/>
  <c r="AH39" i="32"/>
  <c r="AI39" i="32"/>
  <c r="AJ39" i="32"/>
  <c r="K40" i="32"/>
  <c r="L40" i="32"/>
  <c r="M40" i="32"/>
  <c r="N40" i="32"/>
  <c r="O40" i="32"/>
  <c r="R40" i="32"/>
  <c r="S40" i="32"/>
  <c r="T40" i="32"/>
  <c r="U40" i="32"/>
  <c r="V40" i="32"/>
  <c r="Y40" i="32"/>
  <c r="Z40" i="32"/>
  <c r="AA40" i="32"/>
  <c r="AB40" i="32"/>
  <c r="AC40" i="32"/>
  <c r="AF40" i="32"/>
  <c r="AG40" i="32"/>
  <c r="AH40" i="32"/>
  <c r="AI40" i="32"/>
  <c r="AJ40" i="32"/>
  <c r="K41" i="32"/>
  <c r="L41" i="32"/>
  <c r="M41" i="32"/>
  <c r="N41" i="32"/>
  <c r="U41" i="32" s="1"/>
  <c r="AB41" i="32" s="1"/>
  <c r="AI41" i="32" s="1"/>
  <c r="O41" i="32"/>
  <c r="R41" i="32"/>
  <c r="S41" i="32"/>
  <c r="T41" i="32"/>
  <c r="V41" i="32"/>
  <c r="Y41" i="32"/>
  <c r="Z41" i="32"/>
  <c r="AA41" i="32"/>
  <c r="AC41" i="32"/>
  <c r="AF41" i="32"/>
  <c r="AG41" i="32"/>
  <c r="AH41" i="32"/>
  <c r="AJ41" i="32"/>
  <c r="K42" i="32"/>
  <c r="L42" i="32"/>
  <c r="M42" i="32"/>
  <c r="N42" i="32"/>
  <c r="U42" i="32" s="1"/>
  <c r="AB42" i="32" s="1"/>
  <c r="AI42" i="32" s="1"/>
  <c r="O42" i="32"/>
  <c r="R42" i="32"/>
  <c r="S42" i="32"/>
  <c r="T42" i="32"/>
  <c r="V42" i="32"/>
  <c r="Y42" i="32"/>
  <c r="Z42" i="32"/>
  <c r="AA42" i="32"/>
  <c r="AC42" i="32"/>
  <c r="AF42" i="32"/>
  <c r="AG42" i="32"/>
  <c r="AH42" i="32"/>
  <c r="AJ42" i="32"/>
  <c r="K43" i="32"/>
  <c r="L43" i="32"/>
  <c r="M43" i="32"/>
  <c r="N43" i="32"/>
  <c r="U43" i="32" s="1"/>
  <c r="AB43" i="32" s="1"/>
  <c r="AI43" i="32" s="1"/>
  <c r="O43" i="32"/>
  <c r="R43" i="32"/>
  <c r="S43" i="32"/>
  <c r="T43" i="32"/>
  <c r="V43" i="32"/>
  <c r="Y43" i="32"/>
  <c r="Z43" i="32"/>
  <c r="AA43" i="32"/>
  <c r="AC43" i="32"/>
  <c r="AF43" i="32"/>
  <c r="AG43" i="32"/>
  <c r="AH43" i="32"/>
  <c r="AJ43" i="32"/>
  <c r="K44" i="32"/>
  <c r="L44" i="32"/>
  <c r="M44" i="32"/>
  <c r="N44" i="32"/>
  <c r="O44" i="32"/>
  <c r="R44" i="32"/>
  <c r="S44" i="32"/>
  <c r="T44" i="32"/>
  <c r="U44" i="32"/>
  <c r="V44" i="32"/>
  <c r="Y44" i="32"/>
  <c r="Z44" i="32"/>
  <c r="AA44" i="32"/>
  <c r="AB44" i="32"/>
  <c r="AC44" i="32"/>
  <c r="AF44" i="32"/>
  <c r="AG44" i="32"/>
  <c r="AH44" i="32"/>
  <c r="AI44" i="32"/>
  <c r="AJ44" i="32"/>
  <c r="K45" i="32"/>
  <c r="L45" i="32"/>
  <c r="M45" i="32"/>
  <c r="N45" i="32"/>
  <c r="U45" i="32" s="1"/>
  <c r="AB45" i="32" s="1"/>
  <c r="AI45" i="32" s="1"/>
  <c r="O45" i="32"/>
  <c r="R45" i="32"/>
  <c r="S45" i="32"/>
  <c r="T45" i="32"/>
  <c r="V45" i="32"/>
  <c r="Y45" i="32"/>
  <c r="Z45" i="32"/>
  <c r="AG45" i="32" s="1"/>
  <c r="AA45" i="32"/>
  <c r="AC45" i="32"/>
  <c r="AF45" i="32"/>
  <c r="AH45" i="32"/>
  <c r="AJ45" i="32"/>
  <c r="K46" i="32"/>
  <c r="L46" i="32"/>
  <c r="M46" i="32"/>
  <c r="N46" i="32"/>
  <c r="U46" i="32" s="1"/>
  <c r="AB46" i="32" s="1"/>
  <c r="AI46" i="32" s="1"/>
  <c r="O46" i="32"/>
  <c r="R46" i="32"/>
  <c r="S46" i="32"/>
  <c r="T46" i="32"/>
  <c r="V46" i="32"/>
  <c r="Y46" i="32"/>
  <c r="Z46" i="32"/>
  <c r="AG46" i="32" s="1"/>
  <c r="AA46" i="32"/>
  <c r="AC46" i="32"/>
  <c r="AF46" i="32"/>
  <c r="AH46" i="32"/>
  <c r="AJ46" i="32"/>
  <c r="K47" i="32"/>
  <c r="L47" i="32"/>
  <c r="M47" i="32"/>
  <c r="N47" i="32"/>
  <c r="U47" i="32" s="1"/>
  <c r="AB47" i="32" s="1"/>
  <c r="AI47" i="32" s="1"/>
  <c r="O47" i="32"/>
  <c r="R47" i="32"/>
  <c r="S47" i="32"/>
  <c r="T47" i="32"/>
  <c r="V47" i="32"/>
  <c r="Y47" i="32"/>
  <c r="AF47" i="32" s="1"/>
  <c r="Z47" i="32"/>
  <c r="AG47" i="32" s="1"/>
  <c r="AA47" i="32"/>
  <c r="AC47" i="32"/>
  <c r="AH47" i="32"/>
  <c r="AJ47" i="32"/>
  <c r="K48" i="32"/>
  <c r="L48" i="32"/>
  <c r="M48" i="32"/>
  <c r="N48" i="32"/>
  <c r="O48" i="32"/>
  <c r="R48" i="32"/>
  <c r="S48" i="32"/>
  <c r="T48" i="32"/>
  <c r="U48" i="32"/>
  <c r="V48" i="32"/>
  <c r="Y48" i="32"/>
  <c r="Z48" i="32"/>
  <c r="AA48" i="32"/>
  <c r="AB48" i="32"/>
  <c r="AC48" i="32"/>
  <c r="AF48" i="32"/>
  <c r="AG48" i="32"/>
  <c r="AH48" i="32"/>
  <c r="AI48" i="32"/>
  <c r="AJ48" i="32"/>
  <c r="K49" i="32"/>
  <c r="L49" i="32"/>
  <c r="M49" i="32"/>
  <c r="N49" i="32"/>
  <c r="U49" i="32" s="1"/>
  <c r="AB49" i="32" s="1"/>
  <c r="AI49" i="32" s="1"/>
  <c r="O49" i="32"/>
  <c r="R49" i="32"/>
  <c r="S49" i="32"/>
  <c r="T49" i="32"/>
  <c r="V49" i="32"/>
  <c r="Y49" i="32"/>
  <c r="AF49" i="32" s="1"/>
  <c r="Z49" i="32"/>
  <c r="AA49" i="32"/>
  <c r="AC49" i="32"/>
  <c r="AG49" i="32"/>
  <c r="AH49" i="32"/>
  <c r="AJ49" i="32"/>
  <c r="K50" i="32"/>
  <c r="L50" i="32"/>
  <c r="M50" i="32"/>
  <c r="N50" i="32"/>
  <c r="O50" i="32"/>
  <c r="R50" i="32"/>
  <c r="S50" i="32"/>
  <c r="T50" i="32"/>
  <c r="U50" i="32"/>
  <c r="V50" i="32"/>
  <c r="Y50" i="32"/>
  <c r="Z50" i="32"/>
  <c r="AA50" i="32"/>
  <c r="AB50" i="32"/>
  <c r="AC50" i="32"/>
  <c r="AF50" i="32"/>
  <c r="AG50" i="32"/>
  <c r="AH50" i="32"/>
  <c r="AI50" i="32"/>
  <c r="AJ50" i="32"/>
  <c r="K51" i="32"/>
  <c r="L51" i="32"/>
  <c r="M51" i="32"/>
  <c r="N51" i="32"/>
  <c r="O51" i="32"/>
  <c r="R51" i="32"/>
  <c r="S51" i="32"/>
  <c r="T51" i="32"/>
  <c r="U51" i="32"/>
  <c r="V51" i="32"/>
  <c r="Y51" i="32"/>
  <c r="Z51" i="32"/>
  <c r="AA51" i="32"/>
  <c r="AB51" i="32"/>
  <c r="AC51" i="32"/>
  <c r="AF51" i="32"/>
  <c r="AG51" i="32"/>
  <c r="AH51" i="32"/>
  <c r="AI51" i="32"/>
  <c r="AJ51" i="32"/>
  <c r="K52" i="32"/>
  <c r="L52" i="32"/>
  <c r="M52" i="32"/>
  <c r="N52" i="32"/>
  <c r="O52" i="32"/>
  <c r="R52" i="32"/>
  <c r="S52" i="32"/>
  <c r="T52" i="32"/>
  <c r="U52" i="32"/>
  <c r="V52" i="32"/>
  <c r="Y52" i="32"/>
  <c r="Z52" i="32"/>
  <c r="AA52" i="32"/>
  <c r="AB52" i="32"/>
  <c r="AC52" i="32"/>
  <c r="AF52" i="32"/>
  <c r="AG52" i="32"/>
  <c r="AH52" i="32"/>
  <c r="AI52" i="32"/>
  <c r="AJ52" i="32"/>
  <c r="K53" i="32"/>
  <c r="L53" i="32"/>
  <c r="M53" i="32"/>
  <c r="N53" i="32"/>
  <c r="U53" i="32" s="1"/>
  <c r="AB53" i="32" s="1"/>
  <c r="AI53" i="32" s="1"/>
  <c r="O53" i="32"/>
  <c r="R53" i="32"/>
  <c r="S53" i="32"/>
  <c r="Z53" i="32" s="1"/>
  <c r="AG53" i="32" s="1"/>
  <c r="T53" i="32"/>
  <c r="V53" i="32"/>
  <c r="Y53" i="32"/>
  <c r="AF53" i="32" s="1"/>
  <c r="AA53" i="32"/>
  <c r="AC53" i="32"/>
  <c r="AH53" i="32"/>
  <c r="AJ53" i="32"/>
  <c r="K54" i="32"/>
  <c r="L54" i="32"/>
  <c r="M54" i="32"/>
  <c r="N54" i="32"/>
  <c r="O54" i="32"/>
  <c r="R54" i="32"/>
  <c r="S54" i="32"/>
  <c r="T54" i="32"/>
  <c r="U54" i="32"/>
  <c r="V54" i="32"/>
  <c r="Y54" i="32"/>
  <c r="Z54" i="32"/>
  <c r="AA54" i="32"/>
  <c r="AB54" i="32"/>
  <c r="AC54" i="32"/>
  <c r="AF54" i="32"/>
  <c r="AG54" i="32"/>
  <c r="AH54" i="32"/>
  <c r="AI54" i="32"/>
  <c r="AJ54" i="32"/>
  <c r="K55" i="32"/>
  <c r="L55" i="32"/>
  <c r="M55" i="32"/>
  <c r="N55" i="32"/>
  <c r="O55" i="32"/>
  <c r="R55" i="32"/>
  <c r="S55" i="32"/>
  <c r="T55" i="32"/>
  <c r="U55" i="32"/>
  <c r="V55" i="32"/>
  <c r="Y55" i="32"/>
  <c r="Z55" i="32"/>
  <c r="AA55" i="32"/>
  <c r="AB55" i="32"/>
  <c r="AC55" i="32"/>
  <c r="AF55" i="32"/>
  <c r="AG55" i="32"/>
  <c r="AH55" i="32"/>
  <c r="AI55" i="32"/>
  <c r="AJ55" i="32"/>
  <c r="K56" i="32"/>
  <c r="L56" i="32"/>
  <c r="M56" i="32"/>
  <c r="N56" i="32"/>
  <c r="O56" i="32"/>
  <c r="R56" i="32"/>
  <c r="S56" i="32"/>
  <c r="T56" i="32"/>
  <c r="U56" i="32"/>
  <c r="V56" i="32"/>
  <c r="Y56" i="32"/>
  <c r="Z56" i="32"/>
  <c r="AA56" i="32"/>
  <c r="AB56" i="32"/>
  <c r="AC56" i="32"/>
  <c r="AF56" i="32"/>
  <c r="AG56" i="32"/>
  <c r="AH56" i="32"/>
  <c r="AI56" i="32"/>
  <c r="AJ56" i="32"/>
  <c r="K57" i="32"/>
  <c r="L57" i="32"/>
  <c r="M57" i="32"/>
  <c r="N57" i="32"/>
  <c r="U57" i="32" s="1"/>
  <c r="AB57" i="32" s="1"/>
  <c r="AI57" i="32" s="1"/>
  <c r="O57" i="32"/>
  <c r="R57" i="32"/>
  <c r="S57" i="32"/>
  <c r="Z57" i="32" s="1"/>
  <c r="AG57" i="32" s="1"/>
  <c r="T57" i="32"/>
  <c r="V57" i="32"/>
  <c r="Y57" i="32"/>
  <c r="AF57" i="32" s="1"/>
  <c r="AA57" i="32"/>
  <c r="AC57" i="32"/>
  <c r="AH57" i="32"/>
  <c r="AJ57" i="32"/>
  <c r="K58" i="32"/>
  <c r="L58" i="32"/>
  <c r="M58" i="32"/>
  <c r="N58" i="32"/>
  <c r="O58" i="32"/>
  <c r="R58" i="32"/>
  <c r="S58" i="32"/>
  <c r="T58" i="32"/>
  <c r="U58" i="32"/>
  <c r="V58" i="32"/>
  <c r="Y58" i="32"/>
  <c r="Z58" i="32"/>
  <c r="AA58" i="32"/>
  <c r="AB58" i="32"/>
  <c r="AC58" i="32"/>
  <c r="AF58" i="32"/>
  <c r="AG58" i="32"/>
  <c r="AH58" i="32"/>
  <c r="AI58" i="32"/>
  <c r="AJ58" i="32"/>
  <c r="K59" i="32"/>
  <c r="L59" i="32"/>
  <c r="M59" i="32"/>
  <c r="N59" i="32"/>
  <c r="U59" i="32" s="1"/>
  <c r="AB59" i="32" s="1"/>
  <c r="AI59" i="32" s="1"/>
  <c r="O59" i="32"/>
  <c r="R59" i="32"/>
  <c r="S59" i="32"/>
  <c r="Z59" i="32" s="1"/>
  <c r="AG59" i="32" s="1"/>
  <c r="T59" i="32"/>
  <c r="V59" i="32"/>
  <c r="Y59" i="32"/>
  <c r="AF59" i="32" s="1"/>
  <c r="AA59" i="32"/>
  <c r="AC59" i="32"/>
  <c r="AH59" i="32"/>
  <c r="AJ59" i="32"/>
  <c r="K60" i="32"/>
  <c r="L60" i="32"/>
  <c r="M60" i="32"/>
  <c r="N60" i="32"/>
  <c r="O60" i="32"/>
  <c r="R60" i="32"/>
  <c r="S60" i="32"/>
  <c r="T60" i="32"/>
  <c r="U60" i="32"/>
  <c r="V60" i="32"/>
  <c r="Y60" i="32"/>
  <c r="Z60" i="32"/>
  <c r="AA60" i="32"/>
  <c r="AB60" i="32"/>
  <c r="AC60" i="32"/>
  <c r="AF60" i="32"/>
  <c r="AG60" i="32"/>
  <c r="AH60" i="32"/>
  <c r="AI60" i="32"/>
  <c r="AJ60" i="32"/>
  <c r="K61" i="32"/>
  <c r="L61" i="32"/>
  <c r="M61" i="32"/>
  <c r="T61" i="32" s="1"/>
  <c r="AA61" i="32" s="1"/>
  <c r="AH61" i="32" s="1"/>
  <c r="N61" i="32"/>
  <c r="U61" i="32" s="1"/>
  <c r="AB61" i="32" s="1"/>
  <c r="AI61" i="32" s="1"/>
  <c r="O61" i="32"/>
  <c r="R61" i="32"/>
  <c r="S61" i="32"/>
  <c r="Z61" i="32" s="1"/>
  <c r="AG61" i="32" s="1"/>
  <c r="V61" i="32"/>
  <c r="Y61" i="32"/>
  <c r="AF61" i="32" s="1"/>
  <c r="AC61" i="32"/>
  <c r="AJ61" i="32"/>
  <c r="K62" i="32"/>
  <c r="L62" i="32"/>
  <c r="M62" i="32"/>
  <c r="N62" i="32"/>
  <c r="O62" i="32"/>
  <c r="R62" i="32"/>
  <c r="S62" i="32"/>
  <c r="T62" i="32"/>
  <c r="U62" i="32"/>
  <c r="V62" i="32"/>
  <c r="Y62" i="32"/>
  <c r="Z62" i="32"/>
  <c r="AA62" i="32"/>
  <c r="AB62" i="32"/>
  <c r="AC62" i="32"/>
  <c r="AF62" i="32"/>
  <c r="AG62" i="32"/>
  <c r="AH62" i="32"/>
  <c r="AI62" i="32"/>
  <c r="AJ62" i="32"/>
  <c r="K63" i="32"/>
  <c r="L63" i="32"/>
  <c r="M63" i="32"/>
  <c r="N63" i="32"/>
  <c r="O63" i="32"/>
  <c r="R63" i="32"/>
  <c r="S63" i="32"/>
  <c r="T63" i="32"/>
  <c r="U63" i="32"/>
  <c r="V63" i="32"/>
  <c r="Y63" i="32"/>
  <c r="Z63" i="32"/>
  <c r="AA63" i="32"/>
  <c r="AB63" i="32"/>
  <c r="AC63" i="32"/>
  <c r="AF63" i="32"/>
  <c r="AG63" i="32"/>
  <c r="AH63" i="32"/>
  <c r="AI63" i="32"/>
  <c r="AJ63" i="32"/>
  <c r="K64" i="32"/>
  <c r="L64" i="32"/>
  <c r="M64" i="32"/>
  <c r="N64" i="32"/>
  <c r="O64" i="32"/>
  <c r="R64" i="32"/>
  <c r="S64" i="32"/>
  <c r="T64" i="32"/>
  <c r="U64" i="32"/>
  <c r="V64" i="32"/>
  <c r="Y64" i="32"/>
  <c r="Z64" i="32"/>
  <c r="AA64" i="32"/>
  <c r="AB64" i="32"/>
  <c r="AC64" i="32"/>
  <c r="AF64" i="32"/>
  <c r="AG64" i="32"/>
  <c r="AH64" i="32"/>
  <c r="AI64" i="32"/>
  <c r="AJ64" i="32"/>
  <c r="K65" i="32"/>
  <c r="L65" i="32"/>
  <c r="M65" i="32"/>
  <c r="T65" i="32" s="1"/>
  <c r="AA65" i="32" s="1"/>
  <c r="AH65" i="32" s="1"/>
  <c r="N65" i="32"/>
  <c r="U65" i="32" s="1"/>
  <c r="AB65" i="32" s="1"/>
  <c r="AI65" i="32" s="1"/>
  <c r="O65" i="32"/>
  <c r="R65" i="32"/>
  <c r="S65" i="32"/>
  <c r="Z65" i="32" s="1"/>
  <c r="AG65" i="32" s="1"/>
  <c r="V65" i="32"/>
  <c r="Y65" i="32"/>
  <c r="AF65" i="32" s="1"/>
  <c r="AC65" i="32"/>
  <c r="AJ65" i="32"/>
  <c r="K66" i="32"/>
  <c r="L66" i="32"/>
  <c r="M66" i="32"/>
  <c r="T66" i="32" s="1"/>
  <c r="AA66" i="32" s="1"/>
  <c r="AH66" i="32" s="1"/>
  <c r="N66" i="32"/>
  <c r="U66" i="32" s="1"/>
  <c r="AB66" i="32" s="1"/>
  <c r="AI66" i="32" s="1"/>
  <c r="O66" i="32"/>
  <c r="R66" i="32"/>
  <c r="S66" i="32"/>
  <c r="Z66" i="32" s="1"/>
  <c r="AG66" i="32" s="1"/>
  <c r="V66" i="32"/>
  <c r="Y66" i="32"/>
  <c r="AF66" i="32" s="1"/>
  <c r="AC66" i="32"/>
  <c r="AJ66" i="32"/>
  <c r="K67" i="32"/>
  <c r="L67" i="32"/>
  <c r="M67" i="32"/>
  <c r="T67" i="32" s="1"/>
  <c r="AA67" i="32" s="1"/>
  <c r="AH67" i="32" s="1"/>
  <c r="N67" i="32"/>
  <c r="U67" i="32" s="1"/>
  <c r="AB67" i="32" s="1"/>
  <c r="AI67" i="32" s="1"/>
  <c r="O67" i="32"/>
  <c r="R67" i="32"/>
  <c r="S67" i="32"/>
  <c r="Z67" i="32" s="1"/>
  <c r="AG67" i="32" s="1"/>
  <c r="V67" i="32"/>
  <c r="Y67" i="32"/>
  <c r="AF67" i="32" s="1"/>
  <c r="AC67" i="32"/>
  <c r="AJ67" i="32"/>
  <c r="K68" i="32"/>
  <c r="L68" i="32"/>
  <c r="M68" i="32"/>
  <c r="N68" i="32"/>
  <c r="O68" i="32"/>
  <c r="R68" i="32"/>
  <c r="S68" i="32"/>
  <c r="T68" i="32"/>
  <c r="U68" i="32"/>
  <c r="V68" i="32"/>
  <c r="Y68" i="32"/>
  <c r="Z68" i="32"/>
  <c r="AA68" i="32"/>
  <c r="AB68" i="32"/>
  <c r="AC68" i="32"/>
  <c r="AF68" i="32"/>
  <c r="AG68" i="32"/>
  <c r="AH68" i="32"/>
  <c r="AI68" i="32"/>
  <c r="AJ68" i="32"/>
  <c r="K69" i="32"/>
  <c r="L69" i="32"/>
  <c r="M69" i="32"/>
  <c r="T69" i="32" s="1"/>
  <c r="AA69" i="32" s="1"/>
  <c r="AH69" i="32" s="1"/>
  <c r="N69" i="32"/>
  <c r="U69" i="32" s="1"/>
  <c r="AB69" i="32" s="1"/>
  <c r="AI69" i="32" s="1"/>
  <c r="O69" i="32"/>
  <c r="R69" i="32"/>
  <c r="S69" i="32"/>
  <c r="Z69" i="32" s="1"/>
  <c r="AG69" i="32" s="1"/>
  <c r="V69" i="32"/>
  <c r="Y69" i="32"/>
  <c r="AF69" i="32" s="1"/>
  <c r="AC69" i="32"/>
  <c r="AJ69" i="32" s="1"/>
  <c r="K70" i="32"/>
  <c r="L70" i="32"/>
  <c r="M70" i="32"/>
  <c r="T70" i="32" s="1"/>
  <c r="AA70" i="32" s="1"/>
  <c r="AH70" i="32" s="1"/>
  <c r="N70" i="32"/>
  <c r="U70" i="32" s="1"/>
  <c r="AB70" i="32" s="1"/>
  <c r="AI70" i="32" s="1"/>
  <c r="O70" i="32"/>
  <c r="R70" i="32"/>
  <c r="S70" i="32"/>
  <c r="Z70" i="32" s="1"/>
  <c r="AG70" i="32" s="1"/>
  <c r="V70" i="32"/>
  <c r="Y70" i="32"/>
  <c r="AF70" i="32" s="1"/>
  <c r="AC70" i="32"/>
  <c r="AJ70" i="32" s="1"/>
  <c r="K71" i="32"/>
  <c r="L71" i="32"/>
  <c r="M71" i="32"/>
  <c r="T71" i="32" s="1"/>
  <c r="AA71" i="32" s="1"/>
  <c r="AH71" i="32" s="1"/>
  <c r="N71" i="32"/>
  <c r="U71" i="32" s="1"/>
  <c r="AB71" i="32" s="1"/>
  <c r="AI71" i="32" s="1"/>
  <c r="O71" i="32"/>
  <c r="R71" i="32"/>
  <c r="S71" i="32"/>
  <c r="Z71" i="32" s="1"/>
  <c r="AG71" i="32" s="1"/>
  <c r="V71" i="32"/>
  <c r="Y71" i="32"/>
  <c r="AF71" i="32" s="1"/>
  <c r="AC71" i="32"/>
  <c r="AJ71" i="32" s="1"/>
  <c r="K72" i="32"/>
  <c r="L72" i="32"/>
  <c r="M72" i="32"/>
  <c r="N72" i="32"/>
  <c r="O72" i="32"/>
  <c r="R72" i="32"/>
  <c r="S72" i="32"/>
  <c r="T72" i="32"/>
  <c r="U72" i="32"/>
  <c r="V72" i="32"/>
  <c r="Y72" i="32"/>
  <c r="Z72" i="32"/>
  <c r="AA72" i="32"/>
  <c r="AB72" i="32"/>
  <c r="AC72" i="32"/>
  <c r="AF72" i="32"/>
  <c r="AG72" i="32"/>
  <c r="AH72" i="32"/>
  <c r="AI72" i="32"/>
  <c r="AJ72" i="32"/>
  <c r="K73" i="32"/>
  <c r="L73" i="32"/>
  <c r="M73" i="32"/>
  <c r="T73" i="32" s="1"/>
  <c r="AA73" i="32" s="1"/>
  <c r="AH73" i="32" s="1"/>
  <c r="N73" i="32"/>
  <c r="U73" i="32" s="1"/>
  <c r="AB73" i="32" s="1"/>
  <c r="AI73" i="32" s="1"/>
  <c r="O73" i="32"/>
  <c r="R73" i="32"/>
  <c r="S73" i="32"/>
  <c r="Z73" i="32" s="1"/>
  <c r="AG73" i="32" s="1"/>
  <c r="V73" i="32"/>
  <c r="Y73" i="32"/>
  <c r="AF73" i="32" s="1"/>
  <c r="AC73" i="32"/>
  <c r="AJ73" i="32" s="1"/>
  <c r="K74" i="32"/>
  <c r="L74" i="32"/>
  <c r="M74" i="32"/>
  <c r="T74" i="32" s="1"/>
  <c r="AA74" i="32" s="1"/>
  <c r="AH74" i="32" s="1"/>
  <c r="N74" i="32"/>
  <c r="U74" i="32" s="1"/>
  <c r="AB74" i="32" s="1"/>
  <c r="AI74" i="32" s="1"/>
  <c r="O74" i="32"/>
  <c r="R74" i="32"/>
  <c r="S74" i="32"/>
  <c r="Z74" i="32" s="1"/>
  <c r="AG74" i="32" s="1"/>
  <c r="V74" i="32"/>
  <c r="Y74" i="32"/>
  <c r="AF74" i="32" s="1"/>
  <c r="AC74" i="32"/>
  <c r="AJ74" i="32" s="1"/>
  <c r="K75" i="32"/>
  <c r="L75" i="32"/>
  <c r="M75" i="32"/>
  <c r="N75" i="32"/>
  <c r="O75" i="32"/>
  <c r="R75" i="32"/>
  <c r="S75" i="32"/>
  <c r="T75" i="32"/>
  <c r="U75" i="32"/>
  <c r="V75" i="32"/>
  <c r="Y75" i="32"/>
  <c r="Z75" i="32"/>
  <c r="AA75" i="32"/>
  <c r="AB75" i="32"/>
  <c r="AC75" i="32"/>
  <c r="AF75" i="32"/>
  <c r="AG75" i="32"/>
  <c r="AH75" i="32"/>
  <c r="AI75" i="32"/>
  <c r="AJ75" i="32"/>
  <c r="K76" i="32"/>
  <c r="L76" i="32"/>
  <c r="M76" i="32"/>
  <c r="T76" i="32" s="1"/>
  <c r="AA76" i="32" s="1"/>
  <c r="AH76" i="32" s="1"/>
  <c r="N76" i="32"/>
  <c r="U76" i="32" s="1"/>
  <c r="AB76" i="32" s="1"/>
  <c r="AI76" i="32" s="1"/>
  <c r="O76" i="32"/>
  <c r="R76" i="32"/>
  <c r="S76" i="32"/>
  <c r="Z76" i="32" s="1"/>
  <c r="AG76" i="32" s="1"/>
  <c r="V76" i="32"/>
  <c r="Y76" i="32"/>
  <c r="AF76" i="32" s="1"/>
  <c r="AC76" i="32"/>
  <c r="AJ76" i="32" s="1"/>
  <c r="K77" i="32"/>
  <c r="L77" i="32"/>
  <c r="M77" i="32"/>
  <c r="T77" i="32" s="1"/>
  <c r="AA77" i="32" s="1"/>
  <c r="AH77" i="32" s="1"/>
  <c r="N77" i="32"/>
  <c r="U77" i="32" s="1"/>
  <c r="AB77" i="32" s="1"/>
  <c r="AI77" i="32" s="1"/>
  <c r="O77" i="32"/>
  <c r="R77" i="32"/>
  <c r="S77" i="32"/>
  <c r="Z77" i="32" s="1"/>
  <c r="AG77" i="32" s="1"/>
  <c r="V77" i="32"/>
  <c r="Y77" i="32"/>
  <c r="AF77" i="32" s="1"/>
  <c r="AC77" i="32"/>
  <c r="AJ77" i="32" s="1"/>
  <c r="K78" i="32"/>
  <c r="L78" i="32"/>
  <c r="M78" i="32"/>
  <c r="N78" i="32"/>
  <c r="O78" i="32"/>
  <c r="R78" i="32"/>
  <c r="S78" i="32"/>
  <c r="T78" i="32"/>
  <c r="U78" i="32"/>
  <c r="V78" i="32"/>
  <c r="Y78" i="32"/>
  <c r="Z78" i="32"/>
  <c r="AA78" i="32"/>
  <c r="AB78" i="32"/>
  <c r="AC78" i="32"/>
  <c r="AF78" i="32"/>
  <c r="AG78" i="32"/>
  <c r="AH78" i="32"/>
  <c r="AI78" i="32"/>
  <c r="AJ78" i="32"/>
  <c r="K79" i="32"/>
  <c r="L79" i="32"/>
  <c r="M79" i="32"/>
  <c r="N79" i="32"/>
  <c r="U79" i="32" s="1"/>
  <c r="AB79" i="32" s="1"/>
  <c r="AI79" i="32" s="1"/>
  <c r="O79" i="32"/>
  <c r="R79" i="32"/>
  <c r="S79" i="32"/>
  <c r="T79" i="32"/>
  <c r="V79" i="32"/>
  <c r="Y79" i="32"/>
  <c r="AF79" i="32" s="1"/>
  <c r="Z79" i="32"/>
  <c r="AA79" i="32"/>
  <c r="AC79" i="32"/>
  <c r="AG79" i="32"/>
  <c r="AH79" i="32"/>
  <c r="AJ79" i="32"/>
  <c r="K80" i="32"/>
  <c r="L80" i="32"/>
  <c r="M80" i="32"/>
  <c r="N80" i="32"/>
  <c r="O80" i="32"/>
  <c r="R80" i="32"/>
  <c r="S80" i="32"/>
  <c r="T80" i="32"/>
  <c r="U80" i="32"/>
  <c r="V80" i="32"/>
  <c r="Y80" i="32"/>
  <c r="AF80" i="32" s="1"/>
  <c r="Z80" i="32"/>
  <c r="AA80" i="32"/>
  <c r="AB80" i="32"/>
  <c r="AC80" i="32"/>
  <c r="AG80" i="32"/>
  <c r="AH80" i="32"/>
  <c r="AI80" i="32"/>
  <c r="AJ80" i="32"/>
  <c r="K81" i="32"/>
  <c r="L81" i="32"/>
  <c r="M81" i="32"/>
  <c r="N81" i="32"/>
  <c r="O81" i="32"/>
  <c r="R81" i="32"/>
  <c r="S81" i="32"/>
  <c r="T81" i="32"/>
  <c r="U81" i="32"/>
  <c r="V81" i="32"/>
  <c r="Y81" i="32"/>
  <c r="AF81" i="32" s="1"/>
  <c r="Z81" i="32"/>
  <c r="AA81" i="32"/>
  <c r="AB81" i="32"/>
  <c r="AC81" i="32"/>
  <c r="AG81" i="32"/>
  <c r="AH81" i="32"/>
  <c r="AI81" i="32"/>
  <c r="AJ81" i="32"/>
  <c r="K82" i="32"/>
  <c r="L82" i="32"/>
  <c r="M82" i="32"/>
  <c r="N82" i="32"/>
  <c r="O82" i="32"/>
  <c r="R82" i="32"/>
  <c r="S82" i="32"/>
  <c r="T82" i="32"/>
  <c r="U82" i="32"/>
  <c r="V82" i="32"/>
  <c r="Y82" i="32"/>
  <c r="Z82" i="32"/>
  <c r="AA82" i="32"/>
  <c r="AB82" i="32"/>
  <c r="AC82" i="32"/>
  <c r="AF82" i="32"/>
  <c r="AG82" i="32"/>
  <c r="AH82" i="32"/>
  <c r="AI82" i="32"/>
  <c r="AJ82" i="32"/>
  <c r="K83" i="32"/>
  <c r="L83" i="32"/>
  <c r="M83" i="32"/>
  <c r="N83" i="32"/>
  <c r="U83" i="32" s="1"/>
  <c r="AB83" i="32" s="1"/>
  <c r="AI83" i="32" s="1"/>
  <c r="O83" i="32"/>
  <c r="R83" i="32"/>
  <c r="S83" i="32"/>
  <c r="T83" i="32"/>
  <c r="V83" i="32"/>
  <c r="Y83" i="32"/>
  <c r="AF83" i="32" s="1"/>
  <c r="Z83" i="32"/>
  <c r="AA83" i="32"/>
  <c r="AC83" i="32"/>
  <c r="AG83" i="32"/>
  <c r="AH83" i="32"/>
  <c r="AJ83" i="32"/>
  <c r="K84" i="32"/>
  <c r="L84" i="32"/>
  <c r="M84" i="32"/>
  <c r="N84" i="32"/>
  <c r="O84" i="32"/>
  <c r="R84" i="32"/>
  <c r="S84" i="32"/>
  <c r="T84" i="32"/>
  <c r="U84" i="32"/>
  <c r="V84" i="32"/>
  <c r="Y84" i="32"/>
  <c r="AF84" i="32" s="1"/>
  <c r="Z84" i="32"/>
  <c r="AA84" i="32"/>
  <c r="AB84" i="32"/>
  <c r="AC84" i="32"/>
  <c r="AG84" i="32"/>
  <c r="AH84" i="32"/>
  <c r="AI84" i="32"/>
  <c r="AJ84" i="32"/>
  <c r="K85" i="32"/>
  <c r="L85" i="32"/>
  <c r="M85" i="32"/>
  <c r="N85" i="32"/>
  <c r="O85" i="32"/>
  <c r="R85" i="32"/>
  <c r="S85" i="32"/>
  <c r="T85" i="32"/>
  <c r="U85" i="32"/>
  <c r="V85" i="32"/>
  <c r="Y85" i="32"/>
  <c r="AF85" i="32" s="1"/>
  <c r="Z85" i="32"/>
  <c r="AA85" i="32"/>
  <c r="AB85" i="32"/>
  <c r="AC85" i="32"/>
  <c r="AG85" i="32"/>
  <c r="AH85" i="32"/>
  <c r="AI85" i="32"/>
  <c r="AJ85" i="32"/>
  <c r="K86" i="32"/>
  <c r="L86" i="32"/>
  <c r="M86" i="32"/>
  <c r="N86" i="32"/>
  <c r="O86" i="32"/>
  <c r="R86" i="32"/>
  <c r="S86" i="32"/>
  <c r="T86" i="32"/>
  <c r="U86" i="32"/>
  <c r="V86" i="32"/>
  <c r="Y86" i="32"/>
  <c r="Z86" i="32"/>
  <c r="AA86" i="32"/>
  <c r="AB86" i="32"/>
  <c r="AC86" i="32"/>
  <c r="AF86" i="32"/>
  <c r="AG86" i="32"/>
  <c r="AH86" i="32"/>
  <c r="AI86" i="32"/>
  <c r="AJ86" i="32"/>
  <c r="K87" i="32"/>
  <c r="L87" i="32"/>
  <c r="M87" i="32"/>
  <c r="N87" i="32"/>
  <c r="U87" i="32" s="1"/>
  <c r="AB87" i="32" s="1"/>
  <c r="AI87" i="32" s="1"/>
  <c r="O87" i="32"/>
  <c r="R87" i="32"/>
  <c r="S87" i="32"/>
  <c r="T87" i="32"/>
  <c r="V87" i="32"/>
  <c r="Y87" i="32"/>
  <c r="AF87" i="32" s="1"/>
  <c r="Z87" i="32"/>
  <c r="AA87" i="32"/>
  <c r="AC87" i="32"/>
  <c r="AG87" i="32"/>
  <c r="AH87" i="32"/>
  <c r="AJ87" i="32"/>
  <c r="K88" i="32"/>
  <c r="L88" i="32"/>
  <c r="M88" i="32"/>
  <c r="N88" i="32"/>
  <c r="O88" i="32"/>
  <c r="R88" i="32"/>
  <c r="S88" i="32"/>
  <c r="T88" i="32"/>
  <c r="U88" i="32"/>
  <c r="V88" i="32"/>
  <c r="Y88" i="32"/>
  <c r="AF88" i="32" s="1"/>
  <c r="Z88" i="32"/>
  <c r="AA88" i="32"/>
  <c r="AB88" i="32"/>
  <c r="AC88" i="32"/>
  <c r="AG88" i="32"/>
  <c r="AH88" i="32"/>
  <c r="AI88" i="32"/>
  <c r="AJ88" i="32"/>
  <c r="K89" i="32"/>
  <c r="L89" i="32"/>
  <c r="M89" i="32"/>
  <c r="N89" i="32"/>
  <c r="O89" i="32"/>
  <c r="R89" i="32"/>
  <c r="S89" i="32"/>
  <c r="T89" i="32"/>
  <c r="U89" i="32"/>
  <c r="V89" i="32"/>
  <c r="Y89" i="32"/>
  <c r="AF89" i="32" s="1"/>
  <c r="Z89" i="32"/>
  <c r="AA89" i="32"/>
  <c r="AB89" i="32"/>
  <c r="AC89" i="32"/>
  <c r="AG89" i="32"/>
  <c r="AH89" i="32"/>
  <c r="AI89" i="32"/>
  <c r="AJ89" i="32"/>
  <c r="K90" i="32"/>
  <c r="L90" i="32"/>
  <c r="M90" i="32"/>
  <c r="N90" i="32"/>
  <c r="O90" i="32"/>
  <c r="R90" i="32"/>
  <c r="S90" i="32"/>
  <c r="T90" i="32"/>
  <c r="U90" i="32"/>
  <c r="V90" i="32"/>
  <c r="Y90" i="32"/>
  <c r="Z90" i="32"/>
  <c r="AA90" i="32"/>
  <c r="AB90" i="32"/>
  <c r="AC90" i="32"/>
  <c r="AF90" i="32"/>
  <c r="AG90" i="32"/>
  <c r="AH90" i="32"/>
  <c r="AI90" i="32"/>
  <c r="AJ90" i="32"/>
  <c r="K91" i="32"/>
  <c r="L91" i="32"/>
  <c r="M91" i="32"/>
  <c r="N91" i="32"/>
  <c r="U91" i="32" s="1"/>
  <c r="AB91" i="32" s="1"/>
  <c r="AI91" i="32" s="1"/>
  <c r="O91" i="32"/>
  <c r="R91" i="32"/>
  <c r="S91" i="32"/>
  <c r="T91" i="32"/>
  <c r="V91" i="32"/>
  <c r="Y91" i="32"/>
  <c r="Z91" i="32"/>
  <c r="AA91" i="32"/>
  <c r="AC91" i="32"/>
  <c r="AF91" i="32"/>
  <c r="AG91" i="32"/>
  <c r="AH91" i="32"/>
  <c r="AJ91" i="32"/>
  <c r="K92" i="32"/>
  <c r="L92" i="32"/>
  <c r="M92" i="32"/>
  <c r="N92" i="32"/>
  <c r="O92" i="32"/>
  <c r="R92" i="32"/>
  <c r="S92" i="32"/>
  <c r="T92" i="32"/>
  <c r="U92" i="32"/>
  <c r="V92" i="32"/>
  <c r="Y92" i="32"/>
  <c r="Z92" i="32"/>
  <c r="AA92" i="32"/>
  <c r="AB92" i="32"/>
  <c r="AC92" i="32"/>
  <c r="AF92" i="32"/>
  <c r="AG92" i="32"/>
  <c r="AH92" i="32"/>
  <c r="AI92" i="32"/>
  <c r="AJ92" i="32"/>
  <c r="K93" i="32"/>
  <c r="L93" i="32"/>
  <c r="M93" i="32"/>
  <c r="N93" i="32"/>
  <c r="O93" i="32"/>
  <c r="R93" i="32"/>
  <c r="S93" i="32"/>
  <c r="T93" i="32"/>
  <c r="U93" i="32"/>
  <c r="V93" i="32"/>
  <c r="Y93" i="32"/>
  <c r="Z93" i="32"/>
  <c r="AA93" i="32"/>
  <c r="AB93" i="32"/>
  <c r="AC93" i="32"/>
  <c r="AF93" i="32"/>
  <c r="AG93" i="32"/>
  <c r="AH93" i="32"/>
  <c r="AI93" i="32"/>
  <c r="AJ93" i="32"/>
  <c r="K94" i="32"/>
  <c r="L94" i="32"/>
  <c r="M94" i="32"/>
  <c r="N94" i="32"/>
  <c r="O94" i="32"/>
  <c r="R94" i="32"/>
  <c r="S94" i="32"/>
  <c r="T94" i="32"/>
  <c r="U94" i="32"/>
  <c r="V94" i="32"/>
  <c r="Y94" i="32"/>
  <c r="Z94" i="32"/>
  <c r="AA94" i="32"/>
  <c r="AB94" i="32"/>
  <c r="AC94" i="32"/>
  <c r="AF94" i="32"/>
  <c r="AG94" i="32"/>
  <c r="AH94" i="32"/>
  <c r="AI94" i="32"/>
  <c r="AJ94" i="32"/>
  <c r="K95" i="32"/>
  <c r="L95" i="32"/>
  <c r="M95" i="32"/>
  <c r="T95" i="32" s="1"/>
  <c r="AA95" i="32" s="1"/>
  <c r="AH95" i="32" s="1"/>
  <c r="N95" i="32"/>
  <c r="U95" i="32" s="1"/>
  <c r="AB95" i="32" s="1"/>
  <c r="AI95" i="32" s="1"/>
  <c r="O95" i="32"/>
  <c r="R95" i="32"/>
  <c r="S95" i="32"/>
  <c r="Z95" i="32" s="1"/>
  <c r="AG95" i="32" s="1"/>
  <c r="V95" i="32"/>
  <c r="Y95" i="32"/>
  <c r="AF95" i="32" s="1"/>
  <c r="AC95" i="32"/>
  <c r="AJ95" i="32"/>
  <c r="K96" i="32"/>
  <c r="L96" i="32"/>
  <c r="M96" i="32"/>
  <c r="N96" i="32"/>
  <c r="O96" i="32"/>
  <c r="R96" i="32"/>
  <c r="S96" i="32"/>
  <c r="T96" i="32"/>
  <c r="U96" i="32"/>
  <c r="V96" i="32"/>
  <c r="Y96" i="32"/>
  <c r="Z96" i="32"/>
  <c r="AA96" i="32"/>
  <c r="AB96" i="32"/>
  <c r="AC96" i="32"/>
  <c r="AF96" i="32"/>
  <c r="AG96" i="32"/>
  <c r="AH96" i="32"/>
  <c r="AI96" i="32"/>
  <c r="AJ96" i="32"/>
  <c r="K97" i="32"/>
  <c r="L97" i="32"/>
  <c r="M97" i="32"/>
  <c r="T97" i="32" s="1"/>
  <c r="AA97" i="32" s="1"/>
  <c r="AH97" i="32" s="1"/>
  <c r="N97" i="32"/>
  <c r="U97" i="32" s="1"/>
  <c r="AB97" i="32" s="1"/>
  <c r="AI97" i="32" s="1"/>
  <c r="O97" i="32"/>
  <c r="R97" i="32"/>
  <c r="S97" i="32"/>
  <c r="Z97" i="32" s="1"/>
  <c r="AG97" i="32" s="1"/>
  <c r="V97" i="32"/>
  <c r="Y97" i="32"/>
  <c r="AF97" i="32" s="1"/>
  <c r="AC97" i="32"/>
  <c r="AJ97" i="32"/>
  <c r="K98" i="32"/>
  <c r="L98" i="32"/>
  <c r="M98" i="32"/>
  <c r="N98" i="32"/>
  <c r="O98" i="32"/>
  <c r="R98" i="32"/>
  <c r="S98" i="32"/>
  <c r="T98" i="32"/>
  <c r="U98" i="32"/>
  <c r="V98" i="32"/>
  <c r="Y98" i="32"/>
  <c r="Z98" i="32"/>
  <c r="AA98" i="32"/>
  <c r="AB98" i="32"/>
  <c r="AC98" i="32"/>
  <c r="AF98" i="32"/>
  <c r="AG98" i="32"/>
  <c r="AH98" i="32"/>
  <c r="AI98" i="32"/>
  <c r="AJ98" i="32"/>
  <c r="K99" i="32"/>
  <c r="L99" i="32"/>
  <c r="M99" i="32"/>
  <c r="N99" i="32"/>
  <c r="U99" i="32" s="1"/>
  <c r="AB99" i="32" s="1"/>
  <c r="AI99" i="32" s="1"/>
  <c r="O99" i="32"/>
  <c r="R99" i="32"/>
  <c r="S99" i="32"/>
  <c r="T99" i="32"/>
  <c r="V99" i="32"/>
  <c r="Y99" i="32"/>
  <c r="AF99" i="32" s="1"/>
  <c r="Z99" i="32"/>
  <c r="AA99" i="32"/>
  <c r="AC99" i="32"/>
  <c r="AG99" i="32"/>
  <c r="AH99" i="32"/>
  <c r="AJ99" i="32"/>
  <c r="K100" i="32"/>
  <c r="L100" i="32"/>
  <c r="M100" i="32"/>
  <c r="N100" i="32"/>
  <c r="O100" i="32"/>
  <c r="R100" i="32"/>
  <c r="S100" i="32"/>
  <c r="T100" i="32"/>
  <c r="U100" i="32"/>
  <c r="V100" i="32"/>
  <c r="Y100" i="32"/>
  <c r="AF100" i="32" s="1"/>
  <c r="Z100" i="32"/>
  <c r="AA100" i="32"/>
  <c r="AB100" i="32"/>
  <c r="AC100" i="32"/>
  <c r="AG100" i="32"/>
  <c r="AH100" i="32"/>
  <c r="AI100" i="32"/>
  <c r="AJ100" i="32"/>
  <c r="K101" i="32"/>
  <c r="L101" i="32"/>
  <c r="M101" i="32"/>
  <c r="N101" i="32"/>
  <c r="O101" i="32"/>
  <c r="R101" i="32"/>
  <c r="S101" i="32"/>
  <c r="T101" i="32"/>
  <c r="U101" i="32"/>
  <c r="V101" i="32"/>
  <c r="Y101" i="32"/>
  <c r="Z101" i="32"/>
  <c r="AA101" i="32"/>
  <c r="AB101" i="32"/>
  <c r="AC101" i="32"/>
  <c r="AF101" i="32"/>
  <c r="AG101" i="32"/>
  <c r="AH101" i="32"/>
  <c r="AI101" i="32"/>
  <c r="AJ101" i="32"/>
  <c r="K102" i="32"/>
  <c r="L102" i="32"/>
  <c r="M102" i="32"/>
  <c r="N102" i="32"/>
  <c r="O102" i="32"/>
  <c r="R102" i="32"/>
  <c r="S102" i="32"/>
  <c r="T102" i="32"/>
  <c r="U102" i="32"/>
  <c r="V102" i="32"/>
  <c r="Y102" i="32"/>
  <c r="Z102" i="32"/>
  <c r="AA102" i="32"/>
  <c r="AB102" i="32"/>
  <c r="AC102" i="32"/>
  <c r="AF102" i="32"/>
  <c r="AG102" i="32"/>
  <c r="AH102" i="32"/>
  <c r="AI102" i="32"/>
  <c r="AJ102" i="32"/>
  <c r="K103" i="32"/>
  <c r="L103" i="32"/>
  <c r="M103" i="32"/>
  <c r="N103" i="32"/>
  <c r="U103" i="32" s="1"/>
  <c r="O103" i="32"/>
  <c r="R103" i="32"/>
  <c r="S103" i="32"/>
  <c r="T103" i="32"/>
  <c r="V103" i="32"/>
  <c r="Y103" i="32"/>
  <c r="AF103" i="32" s="1"/>
  <c r="Z103" i="32"/>
  <c r="AA103" i="32"/>
  <c r="AB103" i="32"/>
  <c r="AC103" i="32"/>
  <c r="AG103" i="32"/>
  <c r="AH103" i="32"/>
  <c r="AI103" i="32"/>
  <c r="AJ103" i="32"/>
  <c r="K104" i="32"/>
  <c r="L104" i="32"/>
  <c r="M104" i="32"/>
  <c r="N104" i="32"/>
  <c r="O104" i="32"/>
  <c r="R104" i="32"/>
  <c r="S104" i="32"/>
  <c r="T104" i="32"/>
  <c r="U104" i="32"/>
  <c r="V104" i="32"/>
  <c r="Y104" i="32"/>
  <c r="Z104" i="32"/>
  <c r="AA104" i="32"/>
  <c r="AB104" i="32"/>
  <c r="AC104" i="32"/>
  <c r="AF104" i="32"/>
  <c r="AG104" i="32"/>
  <c r="AH104" i="32"/>
  <c r="AI104" i="32"/>
  <c r="AJ104" i="32"/>
  <c r="K105" i="32"/>
  <c r="L105" i="32"/>
  <c r="M105" i="32"/>
  <c r="N105" i="32"/>
  <c r="O105" i="32"/>
  <c r="R105" i="32"/>
  <c r="S105" i="32"/>
  <c r="T105" i="32"/>
  <c r="U105" i="32"/>
  <c r="V105" i="32"/>
  <c r="Y105" i="32"/>
  <c r="Z105" i="32"/>
  <c r="AA105" i="32"/>
  <c r="AB105" i="32"/>
  <c r="AC105" i="32"/>
  <c r="AF105" i="32"/>
  <c r="AG105" i="32"/>
  <c r="AH105" i="32"/>
  <c r="AI105" i="32"/>
  <c r="AJ105" i="32"/>
  <c r="K106" i="32"/>
  <c r="L106" i="32"/>
  <c r="M106" i="32"/>
  <c r="N106" i="32"/>
  <c r="U106" i="32" s="1"/>
  <c r="AB106" i="32" s="1"/>
  <c r="O106" i="32"/>
  <c r="R106" i="32"/>
  <c r="S106" i="32"/>
  <c r="T106" i="32"/>
  <c r="V106" i="32"/>
  <c r="Y106" i="32"/>
  <c r="AF106" i="32" s="1"/>
  <c r="Z106" i="32"/>
  <c r="AA106" i="32"/>
  <c r="AC106" i="32"/>
  <c r="AG106" i="32"/>
  <c r="AH106" i="32"/>
  <c r="AJ106" i="32"/>
  <c r="K107" i="32"/>
  <c r="L107" i="32"/>
  <c r="M107" i="32"/>
  <c r="N107" i="32"/>
  <c r="O107" i="32"/>
  <c r="R107" i="32"/>
  <c r="S107" i="32"/>
  <c r="T107" i="32"/>
  <c r="U107" i="32"/>
  <c r="V107" i="32"/>
  <c r="Y107" i="32"/>
  <c r="Z107" i="32"/>
  <c r="AA107" i="32"/>
  <c r="AB107" i="32"/>
  <c r="AC107" i="32"/>
  <c r="AF107" i="32"/>
  <c r="AG107" i="32"/>
  <c r="AH107" i="32"/>
  <c r="AI107" i="32"/>
  <c r="AJ107" i="32"/>
  <c r="K108" i="32"/>
  <c r="L108" i="32"/>
  <c r="M108" i="32"/>
  <c r="N108" i="32"/>
  <c r="U108" i="32" s="1"/>
  <c r="O108" i="32"/>
  <c r="R108" i="32"/>
  <c r="S108" i="32"/>
  <c r="T108" i="32"/>
  <c r="V108" i="32"/>
  <c r="Y108" i="32"/>
  <c r="AF108" i="32" s="1"/>
  <c r="Z108" i="32"/>
  <c r="AA108" i="32"/>
  <c r="AB108" i="32"/>
  <c r="AC108" i="32"/>
  <c r="AG108" i="32"/>
  <c r="AH108" i="32"/>
  <c r="AI108" i="32"/>
  <c r="AJ108" i="32"/>
  <c r="K109" i="32"/>
  <c r="L109" i="32"/>
  <c r="M109" i="32"/>
  <c r="N109" i="32"/>
  <c r="O109" i="32"/>
  <c r="R109" i="32"/>
  <c r="S109" i="32"/>
  <c r="T109" i="32"/>
  <c r="U109" i="32"/>
  <c r="V109" i="32"/>
  <c r="Y109" i="32"/>
  <c r="Z109" i="32"/>
  <c r="AA109" i="32"/>
  <c r="AB109" i="32"/>
  <c r="AC109" i="32"/>
  <c r="AF109" i="32"/>
  <c r="AG109" i="32"/>
  <c r="AH109" i="32"/>
  <c r="AI109" i="32"/>
  <c r="AJ109" i="32"/>
  <c r="K110" i="32"/>
  <c r="L110" i="32"/>
  <c r="M110" i="32"/>
  <c r="N110" i="32"/>
  <c r="O110" i="32"/>
  <c r="R110" i="32"/>
  <c r="S110" i="32"/>
  <c r="T110" i="32"/>
  <c r="U110" i="32"/>
  <c r="V110" i="32"/>
  <c r="Y110" i="32"/>
  <c r="Z110" i="32"/>
  <c r="AA110" i="32"/>
  <c r="AB110" i="32"/>
  <c r="AC110" i="32"/>
  <c r="AF110" i="32"/>
  <c r="AG110" i="32"/>
  <c r="AH110" i="32"/>
  <c r="AI110" i="32"/>
  <c r="AJ110" i="32"/>
  <c r="K111" i="32"/>
  <c r="L111" i="32"/>
  <c r="M111" i="32"/>
  <c r="N111" i="32"/>
  <c r="O111" i="32"/>
  <c r="R111" i="32"/>
  <c r="S111" i="32"/>
  <c r="T111" i="32"/>
  <c r="U111" i="32"/>
  <c r="V111" i="32"/>
  <c r="Y111" i="32"/>
  <c r="Z111" i="32"/>
  <c r="AA111" i="32"/>
  <c r="AB111" i="32"/>
  <c r="AC111" i="32"/>
  <c r="AF111" i="32"/>
  <c r="AG111" i="32"/>
  <c r="AH111" i="32"/>
  <c r="AI111" i="32"/>
  <c r="AJ111" i="32"/>
  <c r="K112" i="32"/>
  <c r="L112" i="32"/>
  <c r="M112" i="32"/>
  <c r="T112" i="32" s="1"/>
  <c r="N112" i="32"/>
  <c r="U112" i="32" s="1"/>
  <c r="AB112" i="32" s="1"/>
  <c r="AI112" i="32" s="1"/>
  <c r="O112" i="32"/>
  <c r="R112" i="32"/>
  <c r="S112" i="32"/>
  <c r="V112" i="32"/>
  <c r="Y112" i="32"/>
  <c r="Z112" i="32"/>
  <c r="AG112" i="32" s="1"/>
  <c r="AC112" i="32"/>
  <c r="AF112" i="32"/>
  <c r="AJ112" i="32"/>
  <c r="K113" i="32"/>
  <c r="L113" i="32"/>
  <c r="M113" i="32"/>
  <c r="N113" i="32"/>
  <c r="O113" i="32"/>
  <c r="R113" i="32"/>
  <c r="S113" i="32"/>
  <c r="T113" i="32"/>
  <c r="U113" i="32"/>
  <c r="V113" i="32"/>
  <c r="Y113" i="32"/>
  <c r="Z113" i="32"/>
  <c r="AA113" i="32"/>
  <c r="AB113" i="32"/>
  <c r="AC113" i="32"/>
  <c r="AF113" i="32"/>
  <c r="AG113" i="32"/>
  <c r="AH113" i="32"/>
  <c r="AI113" i="32"/>
  <c r="AJ113" i="32"/>
  <c r="K114" i="32"/>
  <c r="L114" i="32"/>
  <c r="M114" i="32"/>
  <c r="N114" i="32"/>
  <c r="O114" i="32"/>
  <c r="R114" i="32"/>
  <c r="S114" i="32"/>
  <c r="T114" i="32"/>
  <c r="U114" i="32"/>
  <c r="V114" i="32"/>
  <c r="Y114" i="32"/>
  <c r="Z114" i="32"/>
  <c r="AA114" i="32"/>
  <c r="AB114" i="32"/>
  <c r="AC114" i="32"/>
  <c r="AF114" i="32"/>
  <c r="AG114" i="32"/>
  <c r="AH114" i="32"/>
  <c r="AI114" i="32"/>
  <c r="AJ114" i="32"/>
  <c r="K115" i="32"/>
  <c r="L115" i="32"/>
  <c r="M115" i="32"/>
  <c r="N115" i="32"/>
  <c r="O115" i="32"/>
  <c r="R115" i="32"/>
  <c r="S115" i="32"/>
  <c r="T115" i="32"/>
  <c r="U115" i="32"/>
  <c r="V115" i="32"/>
  <c r="Y115" i="32"/>
  <c r="Z115" i="32"/>
  <c r="AA115" i="32"/>
  <c r="AB115" i="32"/>
  <c r="AC115" i="32"/>
  <c r="AF115" i="32"/>
  <c r="AG115" i="32"/>
  <c r="AH115" i="32"/>
  <c r="AI115" i="32"/>
  <c r="AJ115" i="32"/>
  <c r="K116" i="32"/>
  <c r="L116" i="32"/>
  <c r="M116" i="32"/>
  <c r="N116" i="32"/>
  <c r="O116" i="32"/>
  <c r="R116" i="32"/>
  <c r="S116" i="32"/>
  <c r="T116" i="32"/>
  <c r="U116" i="32"/>
  <c r="V116" i="32"/>
  <c r="Y116" i="32"/>
  <c r="Z116" i="32"/>
  <c r="AA116" i="32"/>
  <c r="AB116" i="32"/>
  <c r="AC116" i="32"/>
  <c r="AF116" i="32"/>
  <c r="AG116" i="32"/>
  <c r="AH116" i="32"/>
  <c r="AI116" i="32"/>
  <c r="AJ116" i="32"/>
  <c r="K117" i="32"/>
  <c r="L117" i="32"/>
  <c r="M117" i="32"/>
  <c r="N117" i="32"/>
  <c r="O117" i="32"/>
  <c r="R117" i="32"/>
  <c r="S117" i="32"/>
  <c r="T117" i="32"/>
  <c r="U117" i="32"/>
  <c r="V117" i="32"/>
  <c r="Y117" i="32"/>
  <c r="Z117" i="32"/>
  <c r="AA117" i="32"/>
  <c r="AB117" i="32"/>
  <c r="AC117" i="32"/>
  <c r="AF117" i="32"/>
  <c r="AG117" i="32"/>
  <c r="AH117" i="32"/>
  <c r="AI117" i="32"/>
  <c r="AJ117" i="32"/>
  <c r="K118" i="32"/>
  <c r="R118" i="32" s="1"/>
  <c r="Y118" i="32" s="1"/>
  <c r="AF118" i="32" s="1"/>
  <c r="L118" i="32"/>
  <c r="M118" i="32"/>
  <c r="N118" i="32"/>
  <c r="U118" i="32" s="1"/>
  <c r="AB118" i="32" s="1"/>
  <c r="AI118" i="32" s="1"/>
  <c r="O118" i="32"/>
  <c r="S118" i="32"/>
  <c r="T118" i="32"/>
  <c r="V118" i="32"/>
  <c r="Z118" i="32"/>
  <c r="AA118" i="32"/>
  <c r="AC118" i="32"/>
  <c r="AG118" i="32"/>
  <c r="AH118" i="32"/>
  <c r="AJ118" i="32"/>
  <c r="K119" i="32"/>
  <c r="L119" i="32"/>
  <c r="M119" i="32"/>
  <c r="N119" i="32"/>
  <c r="O119" i="32"/>
  <c r="R119" i="32"/>
  <c r="S119" i="32"/>
  <c r="T119" i="32"/>
  <c r="U119" i="32"/>
  <c r="V119" i="32"/>
  <c r="Y119" i="32"/>
  <c r="Z119" i="32"/>
  <c r="AA119" i="32"/>
  <c r="AB119" i="32"/>
  <c r="AC119" i="32"/>
  <c r="AF119" i="32"/>
  <c r="AG119" i="32"/>
  <c r="AH119" i="32"/>
  <c r="AI119" i="32"/>
  <c r="AJ119" i="32"/>
  <c r="K120" i="32"/>
  <c r="L120" i="32"/>
  <c r="M120" i="32"/>
  <c r="N120" i="32"/>
  <c r="O120" i="32"/>
  <c r="R120" i="32"/>
  <c r="S120" i="32"/>
  <c r="T120" i="32"/>
  <c r="U120" i="32"/>
  <c r="V120" i="32"/>
  <c r="Y120" i="32"/>
  <c r="Z120" i="32"/>
  <c r="AA120" i="32"/>
  <c r="AB120" i="32"/>
  <c r="AC120" i="32"/>
  <c r="AF120" i="32"/>
  <c r="AG120" i="32"/>
  <c r="AH120" i="32"/>
  <c r="AI120" i="32"/>
  <c r="AJ120" i="32"/>
  <c r="K121" i="32"/>
  <c r="L121" i="32"/>
  <c r="M121" i="32"/>
  <c r="N121" i="32"/>
  <c r="O121" i="32"/>
  <c r="R121" i="32"/>
  <c r="S121" i="32"/>
  <c r="T121" i="32"/>
  <c r="U121" i="32"/>
  <c r="V121" i="32"/>
  <c r="Y121" i="32"/>
  <c r="Z121" i="32"/>
  <c r="AA121" i="32"/>
  <c r="AB121" i="32"/>
  <c r="AC121" i="32"/>
  <c r="AF121" i="32"/>
  <c r="AG121" i="32"/>
  <c r="AH121" i="32"/>
  <c r="AI121" i="32"/>
  <c r="AJ121" i="32"/>
  <c r="K122" i="32"/>
  <c r="L122" i="32"/>
  <c r="M122" i="32"/>
  <c r="N122" i="32"/>
  <c r="O122" i="32"/>
  <c r="R122" i="32"/>
  <c r="S122" i="32"/>
  <c r="T122" i="32"/>
  <c r="U122" i="32"/>
  <c r="V122" i="32"/>
  <c r="Y122" i="32"/>
  <c r="Z122" i="32"/>
  <c r="AA122" i="32"/>
  <c r="AB122" i="32"/>
  <c r="AC122" i="32"/>
  <c r="AF122" i="32"/>
  <c r="AG122" i="32"/>
  <c r="AH122" i="32"/>
  <c r="AI122" i="32"/>
  <c r="AJ122" i="32"/>
  <c r="K123" i="32"/>
  <c r="R123" i="32" s="1"/>
  <c r="Y123" i="32" s="1"/>
  <c r="AF123" i="32" s="1"/>
  <c r="L123" i="32"/>
  <c r="S123" i="32" s="1"/>
  <c r="Z123" i="32" s="1"/>
  <c r="AG123" i="32" s="1"/>
  <c r="M123" i="32"/>
  <c r="N123" i="32"/>
  <c r="U123" i="32" s="1"/>
  <c r="AB123" i="32" s="1"/>
  <c r="AI123" i="32" s="1"/>
  <c r="O123" i="32"/>
  <c r="T123" i="32"/>
  <c r="AA123" i="32" s="1"/>
  <c r="AH123" i="32" s="1"/>
  <c r="V123" i="32"/>
  <c r="AC123" i="32"/>
  <c r="AJ123" i="32"/>
  <c r="K124" i="32"/>
  <c r="L124" i="32"/>
  <c r="M124" i="32"/>
  <c r="N124" i="32"/>
  <c r="O124" i="32"/>
  <c r="R124" i="32"/>
  <c r="S124" i="32"/>
  <c r="T124" i="32"/>
  <c r="U124" i="32"/>
  <c r="V124" i="32"/>
  <c r="Y124" i="32"/>
  <c r="Z124" i="32"/>
  <c r="AA124" i="32"/>
  <c r="AB124" i="32"/>
  <c r="AC124" i="32"/>
  <c r="AF124" i="32"/>
  <c r="AG124" i="32"/>
  <c r="AH124" i="32"/>
  <c r="AI124" i="32"/>
  <c r="AJ124" i="32"/>
  <c r="K125" i="32"/>
  <c r="L125" i="32"/>
  <c r="M125" i="32"/>
  <c r="N125" i="32"/>
  <c r="O125" i="32"/>
  <c r="R125" i="32"/>
  <c r="S125" i="32"/>
  <c r="T125" i="32"/>
  <c r="U125" i="32"/>
  <c r="V125" i="32"/>
  <c r="Y125" i="32"/>
  <c r="Z125" i="32"/>
  <c r="AA125" i="32"/>
  <c r="AB125" i="32"/>
  <c r="AC125" i="32"/>
  <c r="AF125" i="32"/>
  <c r="AG125" i="32"/>
  <c r="AH125" i="32"/>
  <c r="AI125" i="32"/>
  <c r="AJ125" i="32"/>
  <c r="K126" i="32"/>
  <c r="L126" i="32"/>
  <c r="M126" i="32"/>
  <c r="N126" i="32"/>
  <c r="O126" i="32"/>
  <c r="R126" i="32"/>
  <c r="S126" i="32"/>
  <c r="T126" i="32"/>
  <c r="U126" i="32"/>
  <c r="V126" i="32"/>
  <c r="Y126" i="32"/>
  <c r="Z126" i="32"/>
  <c r="AA126" i="32"/>
  <c r="AB126" i="32"/>
  <c r="AC126" i="32"/>
  <c r="AF126" i="32"/>
  <c r="AG126" i="32"/>
  <c r="AH126" i="32"/>
  <c r="AI126" i="32"/>
  <c r="AJ126" i="32"/>
  <c r="K127" i="32"/>
  <c r="L127" i="32"/>
  <c r="M127" i="32"/>
  <c r="N127" i="32"/>
  <c r="O127" i="32"/>
  <c r="R127" i="32"/>
  <c r="S127" i="32"/>
  <c r="T127" i="32"/>
  <c r="U127" i="32"/>
  <c r="V127" i="32"/>
  <c r="Y127" i="32"/>
  <c r="Z127" i="32"/>
  <c r="AA127" i="32"/>
  <c r="AB127" i="32"/>
  <c r="AC127" i="32"/>
  <c r="AF127" i="32"/>
  <c r="AG127" i="32"/>
  <c r="AH127" i="32"/>
  <c r="AI127" i="32"/>
  <c r="AJ127" i="32"/>
  <c r="K128" i="32"/>
  <c r="R128" i="32" s="1"/>
  <c r="Y128" i="32" s="1"/>
  <c r="AF128" i="32" s="1"/>
  <c r="L128" i="32"/>
  <c r="M128" i="32"/>
  <c r="N128" i="32"/>
  <c r="U128" i="32" s="1"/>
  <c r="AB128" i="32" s="1"/>
  <c r="AI128" i="32" s="1"/>
  <c r="O128" i="32"/>
  <c r="S128" i="32"/>
  <c r="T128" i="32"/>
  <c r="V128" i="32"/>
  <c r="Z128" i="32"/>
  <c r="AA128" i="32"/>
  <c r="AC128" i="32"/>
  <c r="AG128" i="32"/>
  <c r="AH128" i="32"/>
  <c r="AJ128" i="32"/>
  <c r="K129" i="32"/>
  <c r="R129" i="32" s="1"/>
  <c r="Y129" i="32" s="1"/>
  <c r="AF129" i="32" s="1"/>
  <c r="L129" i="32"/>
  <c r="M129" i="32"/>
  <c r="N129" i="32"/>
  <c r="U129" i="32" s="1"/>
  <c r="AB129" i="32" s="1"/>
  <c r="AI129" i="32" s="1"/>
  <c r="O129" i="32"/>
  <c r="S129" i="32"/>
  <c r="T129" i="32"/>
  <c r="V129" i="32"/>
  <c r="Z129" i="32"/>
  <c r="AA129" i="32"/>
  <c r="AC129" i="32"/>
  <c r="AG129" i="32"/>
  <c r="AH129" i="32"/>
  <c r="AJ129" i="32"/>
  <c r="K130" i="32"/>
  <c r="L130" i="32"/>
  <c r="M130" i="32"/>
  <c r="N130" i="32"/>
  <c r="O130" i="32"/>
  <c r="R130" i="32"/>
  <c r="S130" i="32"/>
  <c r="T130" i="32"/>
  <c r="U130" i="32"/>
  <c r="V130" i="32"/>
  <c r="Y130" i="32"/>
  <c r="Z130" i="32"/>
  <c r="AA130" i="32"/>
  <c r="AB130" i="32"/>
  <c r="AC130" i="32"/>
  <c r="AF130" i="32"/>
  <c r="AG130" i="32"/>
  <c r="AH130" i="32"/>
  <c r="AI130" i="32"/>
  <c r="AJ130" i="32"/>
  <c r="K131" i="32"/>
  <c r="L131" i="32"/>
  <c r="M131" i="32"/>
  <c r="N131" i="32"/>
  <c r="O131" i="32"/>
  <c r="R131" i="32"/>
  <c r="S131" i="32"/>
  <c r="T131" i="32"/>
  <c r="U131" i="32"/>
  <c r="V131" i="32"/>
  <c r="Y131" i="32"/>
  <c r="Z131" i="32"/>
  <c r="AA131" i="32"/>
  <c r="AB131" i="32"/>
  <c r="AC131" i="32"/>
  <c r="AF131" i="32"/>
  <c r="AG131" i="32"/>
  <c r="AH131" i="32"/>
  <c r="AI131" i="32"/>
  <c r="AJ131" i="32"/>
  <c r="K132" i="32"/>
  <c r="L132" i="32"/>
  <c r="M132" i="32"/>
  <c r="N132" i="32"/>
  <c r="O132" i="32"/>
  <c r="R132" i="32"/>
  <c r="S132" i="32"/>
  <c r="T132" i="32"/>
  <c r="U132" i="32"/>
  <c r="V132" i="32"/>
  <c r="Y132" i="32"/>
  <c r="Z132" i="32"/>
  <c r="AA132" i="32"/>
  <c r="AB132" i="32"/>
  <c r="AC132" i="32"/>
  <c r="AF132" i="32"/>
  <c r="AG132" i="32"/>
  <c r="AH132" i="32"/>
  <c r="AI132" i="32"/>
  <c r="AJ132" i="32"/>
  <c r="K133" i="32"/>
  <c r="R133" i="32" s="1"/>
  <c r="Y133" i="32" s="1"/>
  <c r="AF133" i="32" s="1"/>
  <c r="L133" i="32"/>
  <c r="S133" i="32" s="1"/>
  <c r="Z133" i="32" s="1"/>
  <c r="AG133" i="32" s="1"/>
  <c r="M133" i="32"/>
  <c r="N133" i="32"/>
  <c r="U133" i="32" s="1"/>
  <c r="AB133" i="32" s="1"/>
  <c r="AI133" i="32" s="1"/>
  <c r="O133" i="32"/>
  <c r="T133" i="32"/>
  <c r="AA133" i="32" s="1"/>
  <c r="AH133" i="32" s="1"/>
  <c r="V133" i="32"/>
  <c r="AC133" i="32"/>
  <c r="AJ133" i="32"/>
  <c r="K134" i="32"/>
  <c r="R134" i="32" s="1"/>
  <c r="Y134" i="32" s="1"/>
  <c r="AF134" i="32" s="1"/>
  <c r="L134" i="32"/>
  <c r="S134" i="32" s="1"/>
  <c r="Z134" i="32" s="1"/>
  <c r="AG134" i="32" s="1"/>
  <c r="M134" i="32"/>
  <c r="N134" i="32"/>
  <c r="U134" i="32" s="1"/>
  <c r="AB134" i="32" s="1"/>
  <c r="AI134" i="32" s="1"/>
  <c r="O134" i="32"/>
  <c r="T134" i="32"/>
  <c r="AA134" i="32" s="1"/>
  <c r="AH134" i="32" s="1"/>
  <c r="V134" i="32"/>
  <c r="AC134" i="32"/>
  <c r="AJ134" i="32"/>
  <c r="K135" i="32"/>
  <c r="L135" i="32"/>
  <c r="M135" i="32"/>
  <c r="N135" i="32"/>
  <c r="O135" i="32"/>
  <c r="R135" i="32"/>
  <c r="S135" i="32"/>
  <c r="T135" i="32"/>
  <c r="U135" i="32"/>
  <c r="V135" i="32"/>
  <c r="Y135" i="32"/>
  <c r="Z135" i="32"/>
  <c r="AA135" i="32"/>
  <c r="AB135" i="32"/>
  <c r="AC135" i="32"/>
  <c r="AF135" i="32"/>
  <c r="AG135" i="32"/>
  <c r="AH135" i="32"/>
  <c r="AI135" i="32"/>
  <c r="AJ135" i="32"/>
  <c r="K136" i="32"/>
  <c r="L136" i="32"/>
  <c r="M136" i="32"/>
  <c r="N136" i="32"/>
  <c r="O136" i="32"/>
  <c r="R136" i="32"/>
  <c r="S136" i="32"/>
  <c r="T136" i="32"/>
  <c r="U136" i="32"/>
  <c r="V136" i="32"/>
  <c r="Y136" i="32"/>
  <c r="Z136" i="32"/>
  <c r="AA136" i="32"/>
  <c r="AB136" i="32"/>
  <c r="AC136" i="32"/>
  <c r="AF136" i="32"/>
  <c r="AG136" i="32"/>
  <c r="AH136" i="32"/>
  <c r="AI136" i="32"/>
  <c r="AJ136" i="32"/>
  <c r="O29" i="32"/>
  <c r="Q123" i="30"/>
  <c r="Q122" i="30"/>
  <c r="Q121" i="30"/>
  <c r="Q120" i="30"/>
  <c r="Q119" i="30"/>
  <c r="Q118" i="30"/>
  <c r="Q117" i="30"/>
  <c r="Q116" i="30"/>
  <c r="Q115" i="30"/>
  <c r="P123" i="30"/>
  <c r="P122" i="30"/>
  <c r="P121" i="30"/>
  <c r="P120" i="30"/>
  <c r="P119" i="30"/>
  <c r="P118" i="30"/>
  <c r="P117" i="30"/>
  <c r="P116" i="30"/>
  <c r="P115" i="30"/>
  <c r="B4" i="30"/>
  <c r="A4130" i="57"/>
  <c r="D4128" i="57"/>
  <c r="C4128" i="57"/>
  <c r="B4128" i="57"/>
  <c r="D4127" i="57"/>
  <c r="C4127" i="57"/>
  <c r="B4127" i="57"/>
  <c r="B4126" i="57"/>
  <c r="B4125" i="57"/>
  <c r="D4124" i="57"/>
  <c r="C4124" i="57"/>
  <c r="B4124" i="57"/>
  <c r="D4123" i="57"/>
  <c r="C4123" i="57"/>
  <c r="B4123" i="57"/>
  <c r="B4122" i="57"/>
  <c r="B4121" i="57"/>
  <c r="D4120" i="57"/>
  <c r="C4120" i="57"/>
  <c r="B4120" i="57"/>
  <c r="D4119" i="57"/>
  <c r="C4119" i="57"/>
  <c r="B4119" i="57"/>
  <c r="B4118" i="57"/>
  <c r="B4117" i="57"/>
  <c r="B4116" i="57"/>
  <c r="B4115" i="57"/>
  <c r="B4067" i="57"/>
  <c r="D4067" i="57" s="1"/>
  <c r="B4066" i="57"/>
  <c r="D4066" i="57" s="1"/>
  <c r="B4063" i="57"/>
  <c r="D4063" i="57" s="1"/>
  <c r="B4062" i="57"/>
  <c r="D4062" i="57" s="1"/>
  <c r="B4059" i="57"/>
  <c r="D4059" i="57" s="1"/>
  <c r="B4058" i="57"/>
  <c r="D4058" i="57" s="1"/>
  <c r="B4057" i="57"/>
  <c r="D4057" i="57" s="1"/>
  <c r="B4056" i="57"/>
  <c r="D4056" i="57" s="1"/>
  <c r="B4054" i="57"/>
  <c r="D4054" i="57" s="1"/>
  <c r="B4053" i="57"/>
  <c r="D4053" i="57" s="1"/>
  <c r="B4052" i="57"/>
  <c r="D4052" i="57" s="1"/>
  <c r="B4051" i="57"/>
  <c r="D4051" i="57" s="1"/>
  <c r="B4045" i="57"/>
  <c r="D4045" i="57" s="1"/>
  <c r="B4044" i="57"/>
  <c r="D4044" i="57" s="1"/>
  <c r="B4043" i="57"/>
  <c r="D4043" i="57" s="1"/>
  <c r="B4042" i="57"/>
  <c r="D4042" i="57" s="1"/>
  <c r="B4041" i="57"/>
  <c r="D4041" i="57" s="1"/>
  <c r="B4040" i="57"/>
  <c r="D4040" i="57" s="1"/>
  <c r="B4039" i="57"/>
  <c r="D4039" i="57" s="1"/>
  <c r="B4038" i="57"/>
  <c r="D4038" i="57" s="1"/>
  <c r="B4037" i="57"/>
  <c r="D4037" i="57" s="1"/>
  <c r="B4034" i="57"/>
  <c r="D4034" i="57" s="1"/>
  <c r="B4033" i="57"/>
  <c r="D4033" i="57" s="1"/>
  <c r="B4030" i="57"/>
  <c r="D4030" i="57" s="1"/>
  <c r="B4029" i="57"/>
  <c r="D4029" i="57" s="1"/>
  <c r="B4026" i="57"/>
  <c r="B4025" i="57"/>
  <c r="B4024" i="57"/>
  <c r="B4023" i="57"/>
  <c r="B4021" i="57"/>
  <c r="B4020" i="57"/>
  <c r="B4019" i="57"/>
  <c r="B4018" i="57"/>
  <c r="B4009" i="57"/>
  <c r="B4007" i="57"/>
  <c r="B4006" i="57"/>
  <c r="B4004" i="57"/>
  <c r="H3970" i="57"/>
  <c r="D3919" i="57"/>
  <c r="C4069" i="57" s="1"/>
  <c r="C3919" i="57"/>
  <c r="C4036" i="57" s="1"/>
  <c r="B3919" i="57"/>
  <c r="C4003" i="57" s="1"/>
  <c r="D3918" i="57"/>
  <c r="C4068" i="57" s="1"/>
  <c r="C3918" i="57"/>
  <c r="C4035" i="57" s="1"/>
  <c r="B3918" i="57"/>
  <c r="C4002" i="57" s="1"/>
  <c r="D3917" i="57"/>
  <c r="C4067" i="57" s="1"/>
  <c r="C3917" i="57"/>
  <c r="C4034" i="57" s="1"/>
  <c r="B3917" i="57"/>
  <c r="C4001" i="57" s="1"/>
  <c r="D3916" i="57"/>
  <c r="C4066" i="57" s="1"/>
  <c r="C3916" i="57"/>
  <c r="C4033" i="57" s="1"/>
  <c r="B3916" i="57"/>
  <c r="C4000" i="57" s="1"/>
  <c r="D3915" i="57"/>
  <c r="C4065" i="57" s="1"/>
  <c r="C3915" i="57"/>
  <c r="C4032" i="57" s="1"/>
  <c r="B3915" i="57"/>
  <c r="C3999" i="57" s="1"/>
  <c r="D3914" i="57"/>
  <c r="C4064" i="57" s="1"/>
  <c r="C3914" i="57"/>
  <c r="C4031" i="57" s="1"/>
  <c r="B3914" i="57"/>
  <c r="C3998" i="57" s="1"/>
  <c r="D3913" i="57"/>
  <c r="C4063" i="57" s="1"/>
  <c r="C3913" i="57"/>
  <c r="C4030" i="57" s="1"/>
  <c r="B3913" i="57"/>
  <c r="C3997" i="57" s="1"/>
  <c r="D3912" i="57"/>
  <c r="C4062" i="57" s="1"/>
  <c r="C3912" i="57"/>
  <c r="C4029" i="57" s="1"/>
  <c r="B3912" i="57"/>
  <c r="C3996" i="57" s="1"/>
  <c r="D3911" i="57"/>
  <c r="C4061" i="57" s="1"/>
  <c r="C3911" i="57"/>
  <c r="C4028" i="57" s="1"/>
  <c r="B3911" i="57"/>
  <c r="C3995" i="57" s="1"/>
  <c r="D3910" i="57"/>
  <c r="C4060" i="57" s="1"/>
  <c r="C3910" i="57"/>
  <c r="C4027" i="57" s="1"/>
  <c r="B3910" i="57"/>
  <c r="C3994" i="57" s="1"/>
  <c r="D3909" i="57"/>
  <c r="C4059" i="57" s="1"/>
  <c r="C3909" i="57"/>
  <c r="C4026" i="57" s="1"/>
  <c r="B3909" i="57"/>
  <c r="C3993" i="57" s="1"/>
  <c r="D3908" i="57"/>
  <c r="C4058" i="57" s="1"/>
  <c r="C3908" i="57"/>
  <c r="C4025" i="57" s="1"/>
  <c r="B3908" i="57"/>
  <c r="C3992" i="57" s="1"/>
  <c r="D3907" i="57"/>
  <c r="C4057" i="57" s="1"/>
  <c r="C3907" i="57"/>
  <c r="C4024" i="57" s="1"/>
  <c r="B3907" i="57"/>
  <c r="C3991" i="57" s="1"/>
  <c r="D3906" i="57"/>
  <c r="C4056" i="57" s="1"/>
  <c r="C3906" i="57"/>
  <c r="C4023" i="57" s="1"/>
  <c r="B3906" i="57"/>
  <c r="C3990" i="57" s="1"/>
  <c r="A3832" i="57"/>
  <c r="A3765" i="57"/>
  <c r="H3763" i="57"/>
  <c r="G3763" i="57"/>
  <c r="F3763" i="57"/>
  <c r="G3762" i="57"/>
  <c r="F3762" i="57"/>
  <c r="H3761" i="57"/>
  <c r="G3761" i="57"/>
  <c r="F3761" i="57"/>
  <c r="D3761" i="57"/>
  <c r="C3761" i="57"/>
  <c r="G3760" i="57"/>
  <c r="F3760" i="57"/>
  <c r="D3760" i="57"/>
  <c r="C3760" i="57"/>
  <c r="H3759" i="57"/>
  <c r="G3759" i="57"/>
  <c r="F3759" i="57"/>
  <c r="G3758" i="57"/>
  <c r="F3758" i="57"/>
  <c r="H3757" i="57"/>
  <c r="G3757" i="57"/>
  <c r="F3757" i="57"/>
  <c r="D3757" i="57"/>
  <c r="C3757" i="57"/>
  <c r="G3756" i="57"/>
  <c r="F3756" i="57"/>
  <c r="D3756" i="57"/>
  <c r="C3756" i="57"/>
  <c r="H3755" i="57"/>
  <c r="G3755" i="57"/>
  <c r="F3755" i="57"/>
  <c r="G3754" i="57"/>
  <c r="F3754" i="57"/>
  <c r="H3753" i="57"/>
  <c r="G3753" i="57"/>
  <c r="F3753" i="57"/>
  <c r="D3753" i="57"/>
  <c r="C3753" i="57"/>
  <c r="G3752" i="57"/>
  <c r="F3752" i="57"/>
  <c r="D3752" i="57"/>
  <c r="C3752" i="57"/>
  <c r="H3751" i="57"/>
  <c r="G3751" i="57"/>
  <c r="F3751" i="57"/>
  <c r="D3751" i="57"/>
  <c r="C3751" i="57"/>
  <c r="H3750" i="57"/>
  <c r="G3750" i="57"/>
  <c r="F3750" i="57"/>
  <c r="D3750" i="57"/>
  <c r="C3750" i="57"/>
  <c r="H3749" i="57"/>
  <c r="G3749" i="57"/>
  <c r="F3749" i="57"/>
  <c r="E3749" i="57"/>
  <c r="H3748" i="57"/>
  <c r="G3748" i="57"/>
  <c r="F3748" i="57"/>
  <c r="E3748" i="57"/>
  <c r="D3748" i="57"/>
  <c r="C3748" i="57"/>
  <c r="H3747" i="57"/>
  <c r="G3747" i="57"/>
  <c r="F3747" i="57"/>
  <c r="E3747" i="57"/>
  <c r="D3747" i="57"/>
  <c r="C3747" i="57"/>
  <c r="H3746" i="57"/>
  <c r="G3746" i="57"/>
  <c r="F3746" i="57"/>
  <c r="E3746" i="57"/>
  <c r="D3746" i="57"/>
  <c r="C3746" i="57"/>
  <c r="H3745" i="57"/>
  <c r="G3745" i="57"/>
  <c r="F3745" i="57"/>
  <c r="E3745" i="57"/>
  <c r="D3745" i="57"/>
  <c r="C3745" i="57"/>
  <c r="H3741" i="57"/>
  <c r="G3741" i="57"/>
  <c r="F3741" i="57"/>
  <c r="H3740" i="57"/>
  <c r="G3740" i="57"/>
  <c r="F3740" i="57"/>
  <c r="H3739" i="57"/>
  <c r="G3739" i="57"/>
  <c r="F3739" i="57"/>
  <c r="D3739" i="57"/>
  <c r="H3738" i="57"/>
  <c r="G3738" i="57"/>
  <c r="F3738" i="57"/>
  <c r="D3738" i="57"/>
  <c r="H3737" i="57"/>
  <c r="G3737" i="57"/>
  <c r="F3737" i="57"/>
  <c r="D3737" i="57"/>
  <c r="H3736" i="57"/>
  <c r="G3736" i="57"/>
  <c r="F3736" i="57"/>
  <c r="E3736" i="57"/>
  <c r="D3736" i="57"/>
  <c r="C3736" i="57"/>
  <c r="H3735" i="57"/>
  <c r="G3735" i="57"/>
  <c r="F3735" i="57"/>
  <c r="D3735" i="57"/>
  <c r="H3734" i="57"/>
  <c r="G3734" i="57"/>
  <c r="F3734" i="57"/>
  <c r="D3734" i="57"/>
  <c r="C3734" i="57"/>
  <c r="H3733" i="57"/>
  <c r="G3733" i="57"/>
  <c r="F3733" i="57"/>
  <c r="E3733" i="57"/>
  <c r="D3733" i="57"/>
  <c r="C3733" i="57"/>
  <c r="H3732" i="57"/>
  <c r="G3732" i="57"/>
  <c r="F3732" i="57"/>
  <c r="D3732" i="57"/>
  <c r="H3731" i="57"/>
  <c r="G3731" i="57"/>
  <c r="F3731" i="57"/>
  <c r="D3731" i="57"/>
  <c r="C3731" i="57"/>
  <c r="A3417" i="57"/>
  <c r="B3381" i="57"/>
  <c r="B3380" i="57"/>
  <c r="B3379" i="57"/>
  <c r="B3378" i="57"/>
  <c r="B3377" i="57"/>
  <c r="B3376" i="57"/>
  <c r="A3334" i="57"/>
  <c r="A3236" i="57"/>
  <c r="A3075" i="57"/>
  <c r="A2932" i="57"/>
  <c r="E2847" i="57"/>
  <c r="D2847" i="57"/>
  <c r="C2847" i="57"/>
  <c r="E2846" i="57"/>
  <c r="D2846" i="57"/>
  <c r="E2845" i="57"/>
  <c r="E2844" i="57"/>
  <c r="D2842" i="57"/>
  <c r="A2793" i="57"/>
  <c r="B2724" i="57"/>
  <c r="A2626" i="57"/>
  <c r="J2469" i="57"/>
  <c r="I2469" i="57"/>
  <c r="H2469" i="57"/>
  <c r="F2469" i="57"/>
  <c r="E2469" i="57"/>
  <c r="D2469" i="57"/>
  <c r="B2469" i="57"/>
  <c r="J2468" i="57"/>
  <c r="I2468" i="57"/>
  <c r="H2468" i="57"/>
  <c r="F2468" i="57"/>
  <c r="E2468" i="57"/>
  <c r="D2468" i="57"/>
  <c r="B2468" i="57"/>
  <c r="J2467" i="57"/>
  <c r="I2467" i="57"/>
  <c r="H2467" i="57"/>
  <c r="F2467" i="57"/>
  <c r="E2467" i="57"/>
  <c r="D2467" i="57"/>
  <c r="B2467" i="57"/>
  <c r="J2466" i="57"/>
  <c r="I2466" i="57"/>
  <c r="H2466" i="57"/>
  <c r="F2466" i="57"/>
  <c r="E2466" i="57"/>
  <c r="D2466" i="57"/>
  <c r="B2466" i="57"/>
  <c r="J2465" i="57"/>
  <c r="I2465" i="57"/>
  <c r="H2465" i="57"/>
  <c r="F2465" i="57"/>
  <c r="E2465" i="57"/>
  <c r="D2465" i="57"/>
  <c r="B2465" i="57"/>
  <c r="J2464" i="57"/>
  <c r="I2464" i="57"/>
  <c r="H2464" i="57"/>
  <c r="F2464" i="57"/>
  <c r="E2464" i="57"/>
  <c r="D2464" i="57"/>
  <c r="B2464" i="57"/>
  <c r="J2463" i="57"/>
  <c r="I2463" i="57"/>
  <c r="H2463" i="57"/>
  <c r="F2463" i="57"/>
  <c r="E2463" i="57"/>
  <c r="D2463" i="57"/>
  <c r="B2463" i="57"/>
  <c r="J2462" i="57"/>
  <c r="I2462" i="57"/>
  <c r="H2462" i="57"/>
  <c r="F2462" i="57"/>
  <c r="E2462" i="57"/>
  <c r="D2462" i="57"/>
  <c r="B2462" i="57"/>
  <c r="J2461" i="57"/>
  <c r="I2461" i="57"/>
  <c r="H2461" i="57"/>
  <c r="F2461" i="57"/>
  <c r="E2461" i="57"/>
  <c r="D2461" i="57"/>
  <c r="B2461" i="57"/>
  <c r="J2460" i="57"/>
  <c r="I2460" i="57"/>
  <c r="H2460" i="57"/>
  <c r="F2460" i="57"/>
  <c r="E2460" i="57"/>
  <c r="D2460" i="57"/>
  <c r="B2460" i="57"/>
  <c r="J2459" i="57"/>
  <c r="I2459" i="57"/>
  <c r="H2459" i="57"/>
  <c r="F2459" i="57"/>
  <c r="E2459" i="57"/>
  <c r="D2459" i="57"/>
  <c r="B2459" i="57"/>
  <c r="J2458" i="57"/>
  <c r="I2458" i="57"/>
  <c r="H2458" i="57"/>
  <c r="F2458" i="57"/>
  <c r="E2458" i="57"/>
  <c r="D2458" i="57"/>
  <c r="B2458" i="57"/>
  <c r="J2457" i="57"/>
  <c r="I2457" i="57"/>
  <c r="H2457" i="57"/>
  <c r="F2457" i="57"/>
  <c r="E2457" i="57"/>
  <c r="D2457" i="57"/>
  <c r="B2457" i="57"/>
  <c r="J2456" i="57"/>
  <c r="I2456" i="57"/>
  <c r="H2456" i="57"/>
  <c r="F2456" i="57"/>
  <c r="E2456" i="57"/>
  <c r="D2456" i="57"/>
  <c r="B2456" i="57"/>
  <c r="J2455" i="57"/>
  <c r="I2455" i="57"/>
  <c r="H2455" i="57"/>
  <c r="F2455" i="57"/>
  <c r="E2455" i="57"/>
  <c r="D2455" i="57"/>
  <c r="B2455" i="57"/>
  <c r="J2454" i="57"/>
  <c r="I2454" i="57"/>
  <c r="H2454" i="57"/>
  <c r="F2454" i="57"/>
  <c r="E2454" i="57"/>
  <c r="D2454" i="57"/>
  <c r="B2454" i="57"/>
  <c r="J2453" i="57"/>
  <c r="I2453" i="57"/>
  <c r="H2453" i="57"/>
  <c r="F2453" i="57"/>
  <c r="E2453" i="57"/>
  <c r="D2453" i="57"/>
  <c r="B2453" i="57"/>
  <c r="J2452" i="57"/>
  <c r="I2452" i="57"/>
  <c r="H2452" i="57"/>
  <c r="F2452" i="57"/>
  <c r="E2452" i="57"/>
  <c r="D2452" i="57"/>
  <c r="B2452" i="57"/>
  <c r="J2451" i="57"/>
  <c r="I2451" i="57"/>
  <c r="H2451" i="57"/>
  <c r="F2451" i="57"/>
  <c r="E2451" i="57"/>
  <c r="D2451" i="57"/>
  <c r="B2451" i="57"/>
  <c r="K2440" i="57"/>
  <c r="C2468" i="57" s="1"/>
  <c r="K2424" i="57"/>
  <c r="C2452" i="57" s="1"/>
  <c r="A2411" i="57"/>
  <c r="A2254" i="57"/>
  <c r="C1553" i="57"/>
  <c r="C1552" i="57"/>
  <c r="C1551" i="57"/>
  <c r="C1550" i="57"/>
  <c r="C1549" i="57"/>
  <c r="C1548" i="57"/>
  <c r="B1334" i="57"/>
  <c r="B1332" i="57"/>
  <c r="B1330" i="57"/>
  <c r="C1330" i="57" s="1"/>
  <c r="B1347" i="57" s="1"/>
  <c r="B1639" i="57" s="1"/>
  <c r="B1328" i="57"/>
  <c r="B1314" i="57"/>
  <c r="A1302" i="57"/>
  <c r="G1246" i="57"/>
  <c r="B1238" i="57"/>
  <c r="I1238" i="57" s="1"/>
  <c r="G1294" i="57" s="1"/>
  <c r="B1236" i="57"/>
  <c r="B1235" i="57"/>
  <c r="G1225" i="57"/>
  <c r="G1224" i="57"/>
  <c r="G1221" i="57"/>
  <c r="B1214" i="57"/>
  <c r="B1213" i="57"/>
  <c r="B1204" i="57"/>
  <c r="I1204" i="57" s="1"/>
  <c r="B1202" i="57"/>
  <c r="B1193" i="57"/>
  <c r="B1191" i="57"/>
  <c r="B1182" i="57"/>
  <c r="J1182" i="57" s="1"/>
  <c r="B1180" i="57"/>
  <c r="B1170" i="57"/>
  <c r="B1168" i="57"/>
  <c r="J1168" i="57" s="1"/>
  <c r="B1159" i="57"/>
  <c r="J1159" i="57" s="1"/>
  <c r="B1158" i="57"/>
  <c r="B1155" i="57"/>
  <c r="B1154" i="57"/>
  <c r="D1154" i="57" s="1"/>
  <c r="B1150" i="57"/>
  <c r="B1148" i="57"/>
  <c r="B970" i="57"/>
  <c r="B997" i="57" s="1"/>
  <c r="B962" i="57"/>
  <c r="B989" i="57" s="1"/>
  <c r="B957" i="57"/>
  <c r="B984" i="57" s="1"/>
  <c r="B954" i="57"/>
  <c r="B981" i="57" s="1"/>
  <c r="A935" i="57"/>
  <c r="B846" i="57"/>
  <c r="C887" i="57" s="1"/>
  <c r="B845" i="57"/>
  <c r="C886" i="57" s="1"/>
  <c r="B842" i="57"/>
  <c r="C868" i="57" s="1"/>
  <c r="B841" i="57"/>
  <c r="C863" i="57" s="1"/>
  <c r="B813" i="57"/>
  <c r="B883" i="57" s="1"/>
  <c r="B812" i="57"/>
  <c r="B882" i="57" s="1"/>
  <c r="B809" i="57"/>
  <c r="B879" i="57" s="1"/>
  <c r="B808" i="57"/>
  <c r="B878" i="57" s="1"/>
  <c r="B805" i="57"/>
  <c r="B875" i="57" s="1"/>
  <c r="B804" i="57"/>
  <c r="B874" i="57" s="1"/>
  <c r="B801" i="57"/>
  <c r="B865" i="57" s="1"/>
  <c r="B800" i="57"/>
  <c r="B864" i="57" s="1"/>
  <c r="B797" i="57"/>
  <c r="B859" i="57" s="1"/>
  <c r="B796" i="57"/>
  <c r="B858" i="57" s="1"/>
  <c r="A784" i="57"/>
  <c r="F746" i="57"/>
  <c r="C693" i="57"/>
  <c r="D693" i="57" s="1"/>
  <c r="B676" i="57"/>
  <c r="C677" i="57" s="1"/>
  <c r="I666" i="57"/>
  <c r="B683" i="57" s="1"/>
  <c r="E666" i="57"/>
  <c r="B679" i="57" s="1"/>
  <c r="C680" i="57" s="1"/>
  <c r="A646" i="57"/>
  <c r="H577" i="57"/>
  <c r="J560" i="57"/>
  <c r="J602" i="57" s="1"/>
  <c r="I560" i="57"/>
  <c r="I602" i="57" s="1"/>
  <c r="H560" i="57"/>
  <c r="H602" i="57" s="1"/>
  <c r="C560" i="57"/>
  <c r="C602" i="57" s="1"/>
  <c r="B560" i="57"/>
  <c r="B602" i="57"/>
  <c r="J559" i="57"/>
  <c r="J601" i="57" s="1"/>
  <c r="I559" i="57"/>
  <c r="I601" i="57" s="1"/>
  <c r="H559" i="57"/>
  <c r="H601" i="57" s="1"/>
  <c r="C559" i="57"/>
  <c r="C601" i="57"/>
  <c r="B559" i="57"/>
  <c r="B601" i="57" s="1"/>
  <c r="J558" i="57"/>
  <c r="J600" i="57" s="1"/>
  <c r="I558" i="57"/>
  <c r="I600" i="57" s="1"/>
  <c r="H558" i="57"/>
  <c r="H600" i="57" s="1"/>
  <c r="C558" i="57"/>
  <c r="C600" i="57"/>
  <c r="B558" i="57"/>
  <c r="B600" i="57" s="1"/>
  <c r="J557" i="57"/>
  <c r="J599" i="57" s="1"/>
  <c r="I557" i="57"/>
  <c r="I599" i="57" s="1"/>
  <c r="H557" i="57"/>
  <c r="H599" i="57" s="1"/>
  <c r="C557" i="57"/>
  <c r="C599" i="57" s="1"/>
  <c r="B557" i="57"/>
  <c r="B599" i="57" s="1"/>
  <c r="J556" i="57"/>
  <c r="J598" i="57" s="1"/>
  <c r="I556" i="57"/>
  <c r="I598" i="57" s="1"/>
  <c r="H556" i="57"/>
  <c r="H598" i="57"/>
  <c r="C556" i="57"/>
  <c r="C598" i="57" s="1"/>
  <c r="B556" i="57"/>
  <c r="B598" i="57" s="1"/>
  <c r="J555" i="57"/>
  <c r="J597" i="57" s="1"/>
  <c r="I555" i="57"/>
  <c r="I597" i="57" s="1"/>
  <c r="H555" i="57"/>
  <c r="H597" i="57" s="1"/>
  <c r="C555" i="57"/>
  <c r="C597" i="57" s="1"/>
  <c r="B555" i="57"/>
  <c r="B597" i="57" s="1"/>
  <c r="J554" i="57"/>
  <c r="J596" i="57" s="1"/>
  <c r="I554" i="57"/>
  <c r="I596" i="57" s="1"/>
  <c r="H554" i="57"/>
  <c r="H596" i="57" s="1"/>
  <c r="C554" i="57"/>
  <c r="C596" i="57" s="1"/>
  <c r="B554" i="57"/>
  <c r="B596" i="57" s="1"/>
  <c r="J553" i="57"/>
  <c r="J595" i="57" s="1"/>
  <c r="I553" i="57"/>
  <c r="I595" i="57" s="1"/>
  <c r="H553" i="57"/>
  <c r="H595" i="57" s="1"/>
  <c r="C553" i="57"/>
  <c r="C595" i="57" s="1"/>
  <c r="B553" i="57"/>
  <c r="B595" i="57" s="1"/>
  <c r="J552" i="57"/>
  <c r="J594" i="57" s="1"/>
  <c r="I552" i="57"/>
  <c r="I594" i="57"/>
  <c r="H552" i="57"/>
  <c r="H594" i="57" s="1"/>
  <c r="C552" i="57"/>
  <c r="C594" i="57" s="1"/>
  <c r="B552" i="57"/>
  <c r="B594" i="57"/>
  <c r="J551" i="57"/>
  <c r="J593" i="57" s="1"/>
  <c r="I551" i="57"/>
  <c r="I593" i="57" s="1"/>
  <c r="H551" i="57"/>
  <c r="H593" i="57" s="1"/>
  <c r="C551" i="57"/>
  <c r="C593" i="57"/>
  <c r="B551" i="57"/>
  <c r="B593" i="57" s="1"/>
  <c r="J550" i="57"/>
  <c r="J592" i="57" s="1"/>
  <c r="I550" i="57"/>
  <c r="I592" i="57" s="1"/>
  <c r="H550" i="57"/>
  <c r="H592" i="57" s="1"/>
  <c r="C550" i="57"/>
  <c r="C592" i="57" s="1"/>
  <c r="B550" i="57"/>
  <c r="B592" i="57" s="1"/>
  <c r="J549" i="57"/>
  <c r="J591" i="57" s="1"/>
  <c r="I549" i="57"/>
  <c r="I591" i="57" s="1"/>
  <c r="H549" i="57"/>
  <c r="H591" i="57"/>
  <c r="C549" i="57"/>
  <c r="C591" i="57" s="1"/>
  <c r="B549" i="57"/>
  <c r="B591" i="57" s="1"/>
  <c r="J548" i="57"/>
  <c r="J590" i="57"/>
  <c r="I548" i="57"/>
  <c r="I590" i="57" s="1"/>
  <c r="H548" i="57"/>
  <c r="H590" i="57" s="1"/>
  <c r="C548" i="57"/>
  <c r="C590" i="57" s="1"/>
  <c r="B548" i="57"/>
  <c r="B590" i="57"/>
  <c r="J547" i="57"/>
  <c r="J589" i="57" s="1"/>
  <c r="I547" i="57"/>
  <c r="I589" i="57" s="1"/>
  <c r="H547" i="57"/>
  <c r="H589" i="57" s="1"/>
  <c r="C547" i="57"/>
  <c r="C589" i="57" s="1"/>
  <c r="B547" i="57"/>
  <c r="B589" i="57"/>
  <c r="J546" i="57"/>
  <c r="J588" i="57" s="1"/>
  <c r="I546" i="57"/>
  <c r="I588" i="57" s="1"/>
  <c r="H546" i="57"/>
  <c r="H588" i="57"/>
  <c r="C546" i="57"/>
  <c r="C588" i="57" s="1"/>
  <c r="B546" i="57"/>
  <c r="B588" i="57" s="1"/>
  <c r="J545" i="57"/>
  <c r="J587" i="57" s="1"/>
  <c r="I545" i="57"/>
  <c r="I587" i="57" s="1"/>
  <c r="H545" i="57"/>
  <c r="H587" i="57"/>
  <c r="C545" i="57"/>
  <c r="C587" i="57" s="1"/>
  <c r="B545" i="57"/>
  <c r="B587" i="57" s="1"/>
  <c r="J544" i="57"/>
  <c r="J586" i="57" s="1"/>
  <c r="I544" i="57"/>
  <c r="I586" i="57" s="1"/>
  <c r="H544" i="57"/>
  <c r="H586" i="57" s="1"/>
  <c r="C544" i="57"/>
  <c r="C586" i="57" s="1"/>
  <c r="B544" i="57"/>
  <c r="B586" i="57" s="1"/>
  <c r="J543" i="57"/>
  <c r="J585" i="57" s="1"/>
  <c r="I543" i="57"/>
  <c r="I585" i="57"/>
  <c r="H543" i="57"/>
  <c r="H585" i="57" s="1"/>
  <c r="C543" i="57"/>
  <c r="C585" i="57" s="1"/>
  <c r="B543" i="57"/>
  <c r="B585" i="57" s="1"/>
  <c r="J542" i="57"/>
  <c r="J584" i="57"/>
  <c r="I542" i="57"/>
  <c r="I584" i="57" s="1"/>
  <c r="H542" i="57"/>
  <c r="H584" i="57" s="1"/>
  <c r="C542" i="57"/>
  <c r="C584" i="57"/>
  <c r="B542" i="57"/>
  <c r="B584" i="57" s="1"/>
  <c r="J541" i="57"/>
  <c r="J583" i="57" s="1"/>
  <c r="I541" i="57"/>
  <c r="I583" i="57" s="1"/>
  <c r="H541" i="57"/>
  <c r="H583" i="57" s="1"/>
  <c r="C541" i="57"/>
  <c r="C583" i="57" s="1"/>
  <c r="B541" i="57"/>
  <c r="B583" i="57" s="1"/>
  <c r="J540" i="57"/>
  <c r="J582" i="57" s="1"/>
  <c r="I540" i="57"/>
  <c r="I582" i="57" s="1"/>
  <c r="H540" i="57"/>
  <c r="H582" i="57"/>
  <c r="C540" i="57"/>
  <c r="C582" i="57" s="1"/>
  <c r="B540" i="57"/>
  <c r="B582" i="57" s="1"/>
  <c r="J539" i="57"/>
  <c r="J581" i="57" s="1"/>
  <c r="I539" i="57"/>
  <c r="I581" i="57" s="1"/>
  <c r="H539" i="57"/>
  <c r="H581" i="57" s="1"/>
  <c r="C539" i="57"/>
  <c r="C581" i="57" s="1"/>
  <c r="B539" i="57"/>
  <c r="B581" i="57" s="1"/>
  <c r="J538" i="57"/>
  <c r="J580" i="57" s="1"/>
  <c r="I538" i="57"/>
  <c r="I580" i="57" s="1"/>
  <c r="H538" i="57"/>
  <c r="H580" i="57" s="1"/>
  <c r="C538" i="57"/>
  <c r="C580" i="57" s="1"/>
  <c r="B538" i="57"/>
  <c r="B580" i="57" s="1"/>
  <c r="J537" i="57"/>
  <c r="J579" i="57" s="1"/>
  <c r="I537" i="57"/>
  <c r="I579" i="57" s="1"/>
  <c r="H537" i="57"/>
  <c r="H579" i="57" s="1"/>
  <c r="C537" i="57"/>
  <c r="C579" i="57" s="1"/>
  <c r="B537" i="57"/>
  <c r="B579" i="57" s="1"/>
  <c r="J536" i="57"/>
  <c r="J578" i="57" s="1"/>
  <c r="I536" i="57"/>
  <c r="I578" i="57"/>
  <c r="H536" i="57"/>
  <c r="H578" i="57" s="1"/>
  <c r="C536" i="57"/>
  <c r="C578" i="57" s="1"/>
  <c r="B536" i="57"/>
  <c r="B578" i="57"/>
  <c r="J535" i="57"/>
  <c r="J577" i="57" s="1"/>
  <c r="I535" i="57"/>
  <c r="I577" i="57" s="1"/>
  <c r="H535" i="57"/>
  <c r="C535" i="57"/>
  <c r="C577" i="57"/>
  <c r="B535" i="57"/>
  <c r="B577" i="57" s="1"/>
  <c r="J534" i="57"/>
  <c r="J576" i="57" s="1"/>
  <c r="I534" i="57"/>
  <c r="I576" i="57" s="1"/>
  <c r="H534" i="57"/>
  <c r="H576" i="57" s="1"/>
  <c r="C534" i="57"/>
  <c r="C576" i="57" s="1"/>
  <c r="B534" i="57"/>
  <c r="B576" i="57" s="1"/>
  <c r="J533" i="57"/>
  <c r="J575" i="57" s="1"/>
  <c r="I533" i="57"/>
  <c r="I575" i="57" s="1"/>
  <c r="H533" i="57"/>
  <c r="H575" i="57"/>
  <c r="C533" i="57"/>
  <c r="C575" i="57" s="1"/>
  <c r="B533" i="57"/>
  <c r="B575" i="57" s="1"/>
  <c r="J532" i="57"/>
  <c r="J574" i="57"/>
  <c r="I532" i="57"/>
  <c r="I574" i="57" s="1"/>
  <c r="H532" i="57"/>
  <c r="H574" i="57" s="1"/>
  <c r="C532" i="57"/>
  <c r="C574" i="57" s="1"/>
  <c r="B532" i="57"/>
  <c r="B574" i="57" s="1"/>
  <c r="J531" i="57"/>
  <c r="J573" i="57" s="1"/>
  <c r="I531" i="57"/>
  <c r="I573" i="57" s="1"/>
  <c r="H531" i="57"/>
  <c r="H573" i="57" s="1"/>
  <c r="C531" i="57"/>
  <c r="C573" i="57" s="1"/>
  <c r="B531" i="57"/>
  <c r="B573" i="57"/>
  <c r="J530" i="57"/>
  <c r="J572" i="57" s="1"/>
  <c r="I530" i="57"/>
  <c r="I572" i="57" s="1"/>
  <c r="H530" i="57"/>
  <c r="H572" i="57"/>
  <c r="C530" i="57"/>
  <c r="C572" i="57" s="1"/>
  <c r="B530" i="57"/>
  <c r="B572" i="57" s="1"/>
  <c r="J529" i="57"/>
  <c r="J571" i="57" s="1"/>
  <c r="I529" i="57"/>
  <c r="I571" i="57" s="1"/>
  <c r="H529" i="57"/>
  <c r="H571" i="57" s="1"/>
  <c r="C529" i="57"/>
  <c r="C571" i="57" s="1"/>
  <c r="B529" i="57"/>
  <c r="B571" i="57" s="1"/>
  <c r="J528" i="57"/>
  <c r="J570" i="57" s="1"/>
  <c r="I528" i="57"/>
  <c r="I570" i="57" s="1"/>
  <c r="H528" i="57"/>
  <c r="H570" i="57" s="1"/>
  <c r="C528" i="57"/>
  <c r="C570" i="57" s="1"/>
  <c r="B528" i="57"/>
  <c r="B570" i="57" s="1"/>
  <c r="F516" i="57"/>
  <c r="B498" i="57"/>
  <c r="E746" i="57" s="1"/>
  <c r="B490" i="57"/>
  <c r="B419" i="57"/>
  <c r="D434" i="57" s="1"/>
  <c r="I391" i="57"/>
  <c r="B638" i="57" s="1"/>
  <c r="B2980" i="57" s="1"/>
  <c r="B3457" i="57" s="1"/>
  <c r="I383" i="57"/>
  <c r="I375" i="57"/>
  <c r="I368" i="57"/>
  <c r="I367" i="57"/>
  <c r="B614" i="57" s="1"/>
  <c r="A352" i="57"/>
  <c r="B1574" i="57"/>
  <c r="B1573" i="57"/>
  <c r="B1572" i="57"/>
  <c r="E1572" i="57" s="1"/>
  <c r="B1571" i="57"/>
  <c r="B1570" i="57"/>
  <c r="B1569" i="57"/>
  <c r="B1568" i="57"/>
  <c r="B1567" i="57"/>
  <c r="B1566" i="57"/>
  <c r="B1996" i="57"/>
  <c r="B1995" i="57"/>
  <c r="C1995" i="57" s="1"/>
  <c r="B2007" i="57" s="1"/>
  <c r="B1994" i="57"/>
  <c r="B1993" i="57"/>
  <c r="C1993" i="57" s="1"/>
  <c r="B2005" i="57" s="1"/>
  <c r="B1380" i="57"/>
  <c r="B1379" i="57"/>
  <c r="B1378" i="57"/>
  <c r="B1377" i="57"/>
  <c r="B1376" i="57"/>
  <c r="B1335" i="57"/>
  <c r="B1333" i="57"/>
  <c r="B1331" i="57"/>
  <c r="C1331" i="57" s="1"/>
  <c r="B1348" i="57" s="1"/>
  <c r="B1329" i="57"/>
  <c r="B1327" i="57"/>
  <c r="E2843" i="57"/>
  <c r="E2842" i="57"/>
  <c r="E2841" i="57"/>
  <c r="E2840" i="57"/>
  <c r="D2845" i="57"/>
  <c r="D2844" i="57"/>
  <c r="D2843" i="57"/>
  <c r="D2841" i="57"/>
  <c r="D2840" i="57"/>
  <c r="C2846" i="57"/>
  <c r="C2845" i="57"/>
  <c r="C2844" i="57"/>
  <c r="C2843" i="57"/>
  <c r="C2842" i="57"/>
  <c r="C2841" i="57"/>
  <c r="C2840" i="57"/>
  <c r="B2847" i="57"/>
  <c r="B2846" i="57"/>
  <c r="B2845" i="57"/>
  <c r="B2844" i="57"/>
  <c r="B2843" i="57"/>
  <c r="B2842" i="57"/>
  <c r="B2841" i="57"/>
  <c r="B2840" i="57"/>
  <c r="B2635" i="57"/>
  <c r="G1251" i="57"/>
  <c r="G1236" i="57"/>
  <c r="G1231" i="57"/>
  <c r="G1230" i="57"/>
  <c r="C114" i="56"/>
  <c r="G1218" i="57"/>
  <c r="B103" i="56"/>
  <c r="B92" i="56"/>
  <c r="B81" i="56"/>
  <c r="C63" i="56"/>
  <c r="K63" i="56" s="1"/>
  <c r="B58" i="56"/>
  <c r="C53" i="56"/>
  <c r="B971" i="57"/>
  <c r="B998" i="57" s="1"/>
  <c r="B969" i="57"/>
  <c r="B996" i="57" s="1"/>
  <c r="B968" i="57"/>
  <c r="B995" i="57" s="1"/>
  <c r="B967" i="57"/>
  <c r="B994" i="57" s="1"/>
  <c r="B966" i="57"/>
  <c r="B993" i="57" s="1"/>
  <c r="B965" i="57"/>
  <c r="B992" i="57" s="1"/>
  <c r="B964" i="57"/>
  <c r="B991" i="57" s="1"/>
  <c r="B963" i="57"/>
  <c r="B990" i="57" s="1"/>
  <c r="B961" i="57"/>
  <c r="B988" i="57" s="1"/>
  <c r="B960" i="57"/>
  <c r="B987" i="57" s="1"/>
  <c r="B959" i="57"/>
  <c r="B986" i="57" s="1"/>
  <c r="B958" i="57"/>
  <c r="B985" i="57" s="1"/>
  <c r="B955" i="57"/>
  <c r="B982" i="57" s="1"/>
  <c r="B953" i="57"/>
  <c r="B980" i="57" s="1"/>
  <c r="B1245" i="57"/>
  <c r="H666" i="57"/>
  <c r="B682" i="57" s="1"/>
  <c r="C683" i="57" s="1"/>
  <c r="G666" i="57"/>
  <c r="B681" i="57" s="1"/>
  <c r="C682" i="57" s="1"/>
  <c r="F666" i="57"/>
  <c r="B680" i="57" s="1"/>
  <c r="C681" i="57" s="1"/>
  <c r="D666" i="57"/>
  <c r="B678" i="57" s="1"/>
  <c r="C679" i="57" s="1"/>
  <c r="B420" i="57"/>
  <c r="E434" i="57" s="1"/>
  <c r="B844" i="57"/>
  <c r="C885" i="57" s="1"/>
  <c r="B843" i="57"/>
  <c r="C884" i="57" s="1"/>
  <c r="B822" i="57"/>
  <c r="B811" i="57"/>
  <c r="B881" i="57" s="1"/>
  <c r="B810" i="57"/>
  <c r="B880" i="57" s="1"/>
  <c r="B807" i="57"/>
  <c r="B877" i="57" s="1"/>
  <c r="B806" i="57"/>
  <c r="B876" i="57" s="1"/>
  <c r="B803" i="57"/>
  <c r="B867" i="57" s="1"/>
  <c r="B802" i="57"/>
  <c r="B866" i="57" s="1"/>
  <c r="B799" i="57"/>
  <c r="B862" i="57" s="1"/>
  <c r="B798" i="57"/>
  <c r="B861" i="57" s="1"/>
  <c r="B795" i="57"/>
  <c r="B856" i="57" s="1"/>
  <c r="B794" i="57"/>
  <c r="B855" i="57" s="1"/>
  <c r="K2432" i="57"/>
  <c r="C2460" i="57" s="1"/>
  <c r="B694" i="57"/>
  <c r="B695" i="57" s="1"/>
  <c r="B710" i="57" s="1"/>
  <c r="B657" i="57"/>
  <c r="A1" i="57"/>
  <c r="B144" i="56"/>
  <c r="C142" i="56"/>
  <c r="B142" i="56"/>
  <c r="C141" i="56"/>
  <c r="C139" i="56"/>
  <c r="K139" i="56" s="1"/>
  <c r="C137" i="56"/>
  <c r="B137" i="56"/>
  <c r="C136" i="56"/>
  <c r="B136" i="56"/>
  <c r="C134" i="56"/>
  <c r="K134" i="56" s="1"/>
  <c r="B131" i="56"/>
  <c r="C129" i="56"/>
  <c r="K129" i="56" s="1"/>
  <c r="B129" i="56"/>
  <c r="L129" i="56" s="1"/>
  <c r="C127" i="56"/>
  <c r="K127" i="56" s="1"/>
  <c r="C126" i="56"/>
  <c r="B124" i="56"/>
  <c r="C122" i="56"/>
  <c r="K122" i="56" s="1"/>
  <c r="B122" i="56"/>
  <c r="C121" i="56"/>
  <c r="K121" i="56" s="1"/>
  <c r="B118" i="56"/>
  <c r="C116" i="56"/>
  <c r="B116" i="56"/>
  <c r="C115" i="56"/>
  <c r="K115" i="56" s="1"/>
  <c r="B115" i="56"/>
  <c r="J115" i="56" s="1"/>
  <c r="B114" i="56"/>
  <c r="C112" i="56"/>
  <c r="K112" i="56" s="1"/>
  <c r="B112" i="56"/>
  <c r="L112" i="56" s="1"/>
  <c r="C111" i="56"/>
  <c r="B111" i="56"/>
  <c r="C109" i="56"/>
  <c r="K109" i="56" s="1"/>
  <c r="B108" i="56"/>
  <c r="C107" i="56"/>
  <c r="B107" i="56"/>
  <c r="C105" i="56"/>
  <c r="B105" i="56"/>
  <c r="C104" i="56"/>
  <c r="K104" i="56" s="1"/>
  <c r="B101" i="56"/>
  <c r="L101" i="56" s="1"/>
  <c r="C100" i="56"/>
  <c r="K100" i="56" s="1"/>
  <c r="B100" i="56"/>
  <c r="C99" i="56"/>
  <c r="B99" i="56"/>
  <c r="C97" i="56"/>
  <c r="K97" i="56" s="1"/>
  <c r="B96" i="56"/>
  <c r="C95" i="56"/>
  <c r="B95" i="56"/>
  <c r="C93" i="56"/>
  <c r="K93" i="56" s="1"/>
  <c r="B93" i="56"/>
  <c r="C92" i="56"/>
  <c r="K92" i="56" s="1"/>
  <c r="B91" i="56"/>
  <c r="C89" i="56"/>
  <c r="K89" i="56" s="1"/>
  <c r="B89" i="56"/>
  <c r="C88" i="56"/>
  <c r="K88" i="56" s="1"/>
  <c r="B88" i="56"/>
  <c r="C87" i="56"/>
  <c r="B85" i="56"/>
  <c r="C84" i="56"/>
  <c r="B84" i="56"/>
  <c r="C82" i="56"/>
  <c r="B79" i="56"/>
  <c r="C78" i="56"/>
  <c r="B78" i="56"/>
  <c r="C77" i="56"/>
  <c r="C75" i="56"/>
  <c r="C74" i="56"/>
  <c r="B74" i="56"/>
  <c r="C73" i="56"/>
  <c r="B73" i="56"/>
  <c r="C71" i="56"/>
  <c r="K71" i="56" s="1"/>
  <c r="C70" i="56"/>
  <c r="K70" i="56" s="1"/>
  <c r="C69" i="56"/>
  <c r="B69" i="56"/>
  <c r="C67" i="56"/>
  <c r="B67" i="56"/>
  <c r="C65" i="56"/>
  <c r="B65" i="56"/>
  <c r="C62" i="56"/>
  <c r="K62" i="56" s="1"/>
  <c r="B62" i="56"/>
  <c r="L62" i="56" s="1"/>
  <c r="C61" i="56"/>
  <c r="B61" i="56"/>
  <c r="C59" i="56"/>
  <c r="K59" i="56" s="1"/>
  <c r="B59" i="56"/>
  <c r="C58" i="56"/>
  <c r="K58" i="56" s="1"/>
  <c r="B57" i="56"/>
  <c r="C55" i="56"/>
  <c r="B55" i="56"/>
  <c r="C54" i="56"/>
  <c r="B53" i="56"/>
  <c r="B51" i="56"/>
  <c r="C50" i="56"/>
  <c r="B50" i="56"/>
  <c r="C49" i="56"/>
  <c r="C47" i="56"/>
  <c r="K47" i="56" s="1"/>
  <c r="B47" i="56"/>
  <c r="J47" i="56" s="1"/>
  <c r="B46" i="56"/>
  <c r="L46" i="56" s="1"/>
  <c r="C45" i="56"/>
  <c r="B45" i="56"/>
  <c r="C43" i="56"/>
  <c r="C42" i="56"/>
  <c r="C41" i="56"/>
  <c r="B41" i="56"/>
  <c r="C39" i="56"/>
  <c r="B39" i="56"/>
  <c r="C38" i="56"/>
  <c r="B38" i="56"/>
  <c r="C37" i="56"/>
  <c r="B37" i="56"/>
  <c r="A1" i="56"/>
  <c r="A1" i="55"/>
  <c r="I1193" i="57"/>
  <c r="D1148" i="57"/>
  <c r="E1573" i="57"/>
  <c r="F1182" i="57"/>
  <c r="E1568" i="57"/>
  <c r="C906" i="57"/>
  <c r="C1168" i="57"/>
  <c r="D2857" i="57"/>
  <c r="E2899" i="57" s="1"/>
  <c r="E1571" i="57"/>
  <c r="D2103" i="57" s="1"/>
  <c r="D2121" i="57" s="1"/>
  <c r="Y2132" i="57" s="1"/>
  <c r="C1572" i="57"/>
  <c r="E1569" i="57"/>
  <c r="J1193" i="57"/>
  <c r="D1572" i="57"/>
  <c r="C1539" i="57"/>
  <c r="C1536" i="57"/>
  <c r="J129" i="56"/>
  <c r="H4385" i="57"/>
  <c r="D4385" i="57"/>
  <c r="G4385" i="57"/>
  <c r="F4385" i="57"/>
  <c r="H1150" i="57"/>
  <c r="C1150" i="57"/>
  <c r="G1150" i="57" s="1"/>
  <c r="J1150" i="57"/>
  <c r="G4480" i="57"/>
  <c r="C4480" i="57"/>
  <c r="F4480" i="57"/>
  <c r="D4480" i="57"/>
  <c r="I1245" i="57"/>
  <c r="E1245" i="57"/>
  <c r="H1245" i="57"/>
  <c r="C1245" i="57"/>
  <c r="G1245" i="57" s="1"/>
  <c r="I376" i="57"/>
  <c r="B623" i="57" s="1"/>
  <c r="I384" i="57"/>
  <c r="B631" i="57" s="1"/>
  <c r="B2973" i="57" s="1"/>
  <c r="B3450" i="57" s="1"/>
  <c r="I392" i="57"/>
  <c r="C925" i="57"/>
  <c r="L3587" i="57" s="1"/>
  <c r="E1150" i="57"/>
  <c r="G4389" i="57"/>
  <c r="H45" i="56" s="1"/>
  <c r="C4389" i="57"/>
  <c r="F4389" i="57"/>
  <c r="H4389" i="57"/>
  <c r="D4389" i="57"/>
  <c r="I1154" i="57"/>
  <c r="E1154" i="57"/>
  <c r="H1154" i="57"/>
  <c r="J1154" i="57"/>
  <c r="F4393" i="57"/>
  <c r="C4393" i="57"/>
  <c r="F1158" i="57"/>
  <c r="I1159" i="57"/>
  <c r="G4415" i="57"/>
  <c r="I1182" i="57"/>
  <c r="I1202" i="57"/>
  <c r="F1245" i="57"/>
  <c r="D2875" i="57"/>
  <c r="E2917" i="57" s="1"/>
  <c r="E514" i="57"/>
  <c r="D745" i="57"/>
  <c r="G4439" i="57"/>
  <c r="C4439" i="57"/>
  <c r="F4439" i="57"/>
  <c r="H4439" i="57"/>
  <c r="D4439" i="57"/>
  <c r="H1204" i="57"/>
  <c r="C1204" i="57"/>
  <c r="E4439" i="57" s="1"/>
  <c r="F1204" i="57"/>
  <c r="E1204" i="57"/>
  <c r="G4473" i="57"/>
  <c r="C4473" i="57"/>
  <c r="F4473" i="57"/>
  <c r="H42" i="55" s="1"/>
  <c r="D4473" i="57"/>
  <c r="H4473" i="57"/>
  <c r="H1238" i="57"/>
  <c r="F1294" i="57" s="1"/>
  <c r="C1238" i="57"/>
  <c r="G1238" i="57" s="1"/>
  <c r="E1294" i="57" s="1"/>
  <c r="F1238" i="57"/>
  <c r="D1294" i="57" s="1"/>
  <c r="E1238" i="57"/>
  <c r="C1294" i="57" s="1"/>
  <c r="J46" i="56"/>
  <c r="J62" i="56"/>
  <c r="J112" i="56"/>
  <c r="B709" i="57"/>
  <c r="C666" i="57"/>
  <c r="B677" i="57" s="1"/>
  <c r="B422" i="57"/>
  <c r="G434" i="57" s="1"/>
  <c r="B418" i="57"/>
  <c r="C434" i="57" s="1"/>
  <c r="I394" i="57"/>
  <c r="B641" i="57" s="1"/>
  <c r="B2983" i="57" s="1"/>
  <c r="B3460" i="57" s="1"/>
  <c r="I390" i="57"/>
  <c r="I386" i="57"/>
  <c r="B3395" i="57" s="1"/>
  <c r="B3410" i="57" s="1"/>
  <c r="B3705" i="57" s="1"/>
  <c r="I382" i="57"/>
  <c r="B629" i="57" s="1"/>
  <c r="I378" i="57"/>
  <c r="B625" i="57" s="1"/>
  <c r="I374" i="57"/>
  <c r="B621" i="57" s="1"/>
  <c r="I370" i="57"/>
  <c r="B617" i="57" s="1"/>
  <c r="I366" i="57"/>
  <c r="B425" i="57"/>
  <c r="J434" i="57" s="1"/>
  <c r="B421" i="57"/>
  <c r="F434" i="57" s="1"/>
  <c r="I397" i="57"/>
  <c r="I393" i="57"/>
  <c r="I389" i="57"/>
  <c r="I385" i="57"/>
  <c r="I381" i="57"/>
  <c r="I377" i="57"/>
  <c r="I373" i="57"/>
  <c r="B620" i="57" s="1"/>
  <c r="I369" i="57"/>
  <c r="B616" i="57" s="1"/>
  <c r="B2958" i="57" s="1"/>
  <c r="B3130" i="57" s="1"/>
  <c r="I365" i="57"/>
  <c r="B956" i="57"/>
  <c r="B983" i="57" s="1"/>
  <c r="B42" i="56"/>
  <c r="B43" i="56"/>
  <c r="B49" i="56"/>
  <c r="C57" i="56"/>
  <c r="B63" i="56"/>
  <c r="B70" i="56"/>
  <c r="B71" i="56"/>
  <c r="D1182" i="57"/>
  <c r="B75" i="56"/>
  <c r="B77" i="56"/>
  <c r="C81" i="56"/>
  <c r="B82" i="56"/>
  <c r="C91" i="56"/>
  <c r="C96" i="56"/>
  <c r="K96" i="56" s="1"/>
  <c r="C101" i="56"/>
  <c r="K101" i="56" s="1"/>
  <c r="C103" i="56"/>
  <c r="G1217" i="57"/>
  <c r="C108" i="56"/>
  <c r="K108" i="56" s="1"/>
  <c r="B120" i="56"/>
  <c r="B121" i="56"/>
  <c r="C124" i="56"/>
  <c r="K124" i="56" s="1"/>
  <c r="D1236" i="57"/>
  <c r="B127" i="56"/>
  <c r="C131" i="56"/>
  <c r="B132" i="56"/>
  <c r="B134" i="56"/>
  <c r="B141" i="56"/>
  <c r="C144" i="56"/>
  <c r="K144" i="56" s="1"/>
  <c r="D2884" i="57"/>
  <c r="E2926" i="57" s="1"/>
  <c r="D2876" i="57"/>
  <c r="E2918" i="57" s="1"/>
  <c r="D2868" i="57"/>
  <c r="E2910" i="57" s="1"/>
  <c r="D2862" i="57"/>
  <c r="E2904" i="57" s="1"/>
  <c r="H2887" i="57"/>
  <c r="I2929" i="57" s="1"/>
  <c r="H2868" i="57"/>
  <c r="I2910" i="57" s="1"/>
  <c r="C1314" i="57"/>
  <c r="C1334" i="57"/>
  <c r="B1351" i="57" s="1"/>
  <c r="I371" i="57"/>
  <c r="I379" i="57"/>
  <c r="B626" i="57" s="1"/>
  <c r="I387" i="57"/>
  <c r="B634" i="57" s="1"/>
  <c r="B2976" i="57" s="1"/>
  <c r="B3453" i="57" s="1"/>
  <c r="I395" i="57"/>
  <c r="B642" i="57" s="1"/>
  <c r="B2984" i="57" s="1"/>
  <c r="B3461" i="57" s="1"/>
  <c r="B423" i="57"/>
  <c r="H434" i="57" s="1"/>
  <c r="F515" i="57"/>
  <c r="G529" i="57"/>
  <c r="G571" i="57" s="1"/>
  <c r="C694" i="57"/>
  <c r="C918" i="57"/>
  <c r="F1150" i="57"/>
  <c r="C1154" i="57"/>
  <c r="H4390" i="57"/>
  <c r="C1158" i="57"/>
  <c r="G1158" i="57" s="1"/>
  <c r="D4405" i="57"/>
  <c r="C1180" i="57"/>
  <c r="G1180" i="57" s="1"/>
  <c r="J1204" i="57"/>
  <c r="C1214" i="57"/>
  <c r="E4449" i="57" s="1"/>
  <c r="F4471" i="57"/>
  <c r="D4471" i="57"/>
  <c r="F88" i="55" s="1"/>
  <c r="G4471" i="57"/>
  <c r="C4471" i="57"/>
  <c r="I1236" i="57"/>
  <c r="E1236" i="57"/>
  <c r="H1236" i="57"/>
  <c r="F1236" i="57"/>
  <c r="J1238" i="57"/>
  <c r="H1294" i="57" s="1"/>
  <c r="D2877" i="57"/>
  <c r="E2919" i="57" s="1"/>
  <c r="G4394" i="57"/>
  <c r="C4394" i="57"/>
  <c r="F4394" i="57"/>
  <c r="H4394" i="57"/>
  <c r="D4394" i="57"/>
  <c r="H1159" i="57"/>
  <c r="C1159" i="57"/>
  <c r="G1159" i="57" s="1"/>
  <c r="F1159" i="57"/>
  <c r="E1159" i="57"/>
  <c r="G4417" i="57"/>
  <c r="F4417" i="57"/>
  <c r="H4417" i="57"/>
  <c r="H1182" i="57"/>
  <c r="C1182" i="57"/>
  <c r="G1182" i="57" s="1"/>
  <c r="J101" i="56"/>
  <c r="D1150" i="57"/>
  <c r="C46" i="56"/>
  <c r="K46" i="56" s="1"/>
  <c r="C51" i="56"/>
  <c r="B54" i="56"/>
  <c r="E1182" i="57"/>
  <c r="C79" i="56"/>
  <c r="C85" i="56"/>
  <c r="B87" i="56"/>
  <c r="D1204" i="57"/>
  <c r="B97" i="56"/>
  <c r="D1213" i="57"/>
  <c r="B104" i="56"/>
  <c r="B109" i="56"/>
  <c r="C118" i="56"/>
  <c r="K118" i="56" s="1"/>
  <c r="C120" i="56"/>
  <c r="B126" i="56"/>
  <c r="G1241" i="57"/>
  <c r="C132" i="56"/>
  <c r="K132" i="56" s="1"/>
  <c r="J1245" i="57"/>
  <c r="B139" i="56"/>
  <c r="J139" i="56" s="1"/>
  <c r="E2888" i="57"/>
  <c r="F2930" i="57" s="1"/>
  <c r="E2887" i="57"/>
  <c r="F2929" i="57" s="1"/>
  <c r="E2886" i="57"/>
  <c r="F2928" i="57" s="1"/>
  <c r="E2885" i="57"/>
  <c r="F2927" i="57" s="1"/>
  <c r="E2884" i="57"/>
  <c r="F2926" i="57" s="1"/>
  <c r="E2883" i="57"/>
  <c r="F2925" i="57" s="1"/>
  <c r="E2882" i="57"/>
  <c r="F2924" i="57" s="1"/>
  <c r="E2881" i="57"/>
  <c r="F2923" i="57" s="1"/>
  <c r="E2880" i="57"/>
  <c r="F2922" i="57" s="1"/>
  <c r="E2879" i="57"/>
  <c r="F2921" i="57" s="1"/>
  <c r="E2878" i="57"/>
  <c r="F2920" i="57" s="1"/>
  <c r="E2877" i="57"/>
  <c r="F2919" i="57" s="1"/>
  <c r="E2876" i="57"/>
  <c r="F2918" i="57" s="1"/>
  <c r="E2875" i="57"/>
  <c r="F2917" i="57" s="1"/>
  <c r="E2874" i="57"/>
  <c r="F2916" i="57" s="1"/>
  <c r="E2873" i="57"/>
  <c r="F2915" i="57" s="1"/>
  <c r="E2872" i="57"/>
  <c r="F2914" i="57" s="1"/>
  <c r="E2871" i="57"/>
  <c r="F2913" i="57" s="1"/>
  <c r="E2870" i="57"/>
  <c r="F2912" i="57" s="1"/>
  <c r="E2869" i="57"/>
  <c r="F2911" i="57" s="1"/>
  <c r="E2868" i="57"/>
  <c r="F2910" i="57" s="1"/>
  <c r="E2867" i="57"/>
  <c r="F2909" i="57" s="1"/>
  <c r="E2866" i="57"/>
  <c r="F2908" i="57" s="1"/>
  <c r="E2865" i="57"/>
  <c r="F2907" i="57" s="1"/>
  <c r="E2864" i="57"/>
  <c r="F2906" i="57" s="1"/>
  <c r="E2863" i="57"/>
  <c r="F2905" i="57" s="1"/>
  <c r="E2862" i="57"/>
  <c r="F2904" i="57" s="1"/>
  <c r="E2861" i="57"/>
  <c r="F2903" i="57" s="1"/>
  <c r="E2860" i="57"/>
  <c r="F2902" i="57" s="1"/>
  <c r="E2859" i="57"/>
  <c r="F2901" i="57" s="1"/>
  <c r="E2858" i="57"/>
  <c r="F2900" i="57" s="1"/>
  <c r="E2857" i="57"/>
  <c r="F2899" i="57" s="1"/>
  <c r="E2856" i="57"/>
  <c r="F2898" i="57" s="1"/>
  <c r="I2886" i="57"/>
  <c r="J2928" i="57" s="1"/>
  <c r="I2878" i="57"/>
  <c r="J2920" i="57" s="1"/>
  <c r="I2870" i="57"/>
  <c r="J2912" i="57" s="1"/>
  <c r="I2862" i="57"/>
  <c r="J2904" i="57" s="1"/>
  <c r="I2887" i="57"/>
  <c r="J2929" i="57" s="1"/>
  <c r="I2879" i="57"/>
  <c r="J2921" i="57" s="1"/>
  <c r="I2871" i="57"/>
  <c r="J2913" i="57" s="1"/>
  <c r="I2863" i="57"/>
  <c r="J2905" i="57" s="1"/>
  <c r="B1980" i="57"/>
  <c r="D1314" i="57"/>
  <c r="I372" i="57"/>
  <c r="B619" i="57" s="1"/>
  <c r="I380" i="57"/>
  <c r="I388" i="57"/>
  <c r="I396" i="57"/>
  <c r="B643" i="57" s="1"/>
  <c r="B2985" i="57" s="1"/>
  <c r="B424" i="57"/>
  <c r="I434" i="57" s="1"/>
  <c r="C905" i="57"/>
  <c r="L3567" i="57" s="1"/>
  <c r="C929" i="57"/>
  <c r="L3591" i="57" s="1"/>
  <c r="H4383" i="57"/>
  <c r="H1148" i="57"/>
  <c r="I1150" i="57"/>
  <c r="F1154" i="57"/>
  <c r="F4403" i="57"/>
  <c r="H4403" i="57"/>
  <c r="D4403" i="57"/>
  <c r="O59" i="56" s="1"/>
  <c r="G4403" i="57"/>
  <c r="C4403" i="57"/>
  <c r="I1168" i="57"/>
  <c r="E1168" i="57"/>
  <c r="H1168" i="57"/>
  <c r="F1168" i="57"/>
  <c r="J1180" i="57"/>
  <c r="J1202" i="57"/>
  <c r="G4448" i="57"/>
  <c r="D4470" i="57"/>
  <c r="I1235" i="57"/>
  <c r="G1293" i="57" s="1"/>
  <c r="J1236" i="57"/>
  <c r="K2431" i="57"/>
  <c r="C2459" i="57" s="1"/>
  <c r="D1159" i="57"/>
  <c r="E1213" i="57"/>
  <c r="B2704" i="57"/>
  <c r="B2886" i="57"/>
  <c r="C2928" i="57" s="1"/>
  <c r="B2882" i="57"/>
  <c r="C2924" i="57" s="1"/>
  <c r="B2878" i="57"/>
  <c r="C2920" i="57" s="1"/>
  <c r="B2874" i="57"/>
  <c r="C2916" i="57" s="1"/>
  <c r="B2870" i="57"/>
  <c r="C2912" i="57" s="1"/>
  <c r="B2866" i="57"/>
  <c r="C2908" i="57" s="1"/>
  <c r="B2862" i="57"/>
  <c r="C2904" i="57" s="1"/>
  <c r="B2858" i="57"/>
  <c r="C2900" i="57" s="1"/>
  <c r="F2883" i="57"/>
  <c r="G2925" i="57" s="1"/>
  <c r="F2867" i="57"/>
  <c r="G2909" i="57" s="1"/>
  <c r="E1314" i="57"/>
  <c r="B907" i="57"/>
  <c r="B915" i="57"/>
  <c r="B931" i="57"/>
  <c r="B1146" i="57"/>
  <c r="B1151" i="57"/>
  <c r="B1156" i="57"/>
  <c r="B1163" i="57"/>
  <c r="I1163" i="57" s="1"/>
  <c r="B1174" i="57"/>
  <c r="D1174" i="57" s="1"/>
  <c r="B1275" i="57" s="1"/>
  <c r="B1186" i="57"/>
  <c r="B1197" i="57"/>
  <c r="B1208" i="57"/>
  <c r="B1221" i="57"/>
  <c r="B1223" i="57"/>
  <c r="C1567" i="57"/>
  <c r="C1569" i="57"/>
  <c r="C1571" i="57"/>
  <c r="C1573" i="57"/>
  <c r="K2438" i="57"/>
  <c r="C2466" i="57" s="1"/>
  <c r="K2434" i="57"/>
  <c r="C2462" i="57" s="1"/>
  <c r="K2430" i="57"/>
  <c r="C2458" i="57" s="1"/>
  <c r="K2426" i="57"/>
  <c r="C2454" i="57" s="1"/>
  <c r="K2441" i="57"/>
  <c r="C2469" i="57" s="1"/>
  <c r="K2437" i="57"/>
  <c r="C2465" i="57" s="1"/>
  <c r="K2433" i="57"/>
  <c r="C2461" i="57" s="1"/>
  <c r="K2429" i="57"/>
  <c r="C2457" i="57" s="1"/>
  <c r="K2425" i="57"/>
  <c r="C2453" i="57" s="1"/>
  <c r="K2436" i="57"/>
  <c r="C2464" i="57" s="1"/>
  <c r="K2428" i="57"/>
  <c r="C2456" i="57" s="1"/>
  <c r="K2435" i="57"/>
  <c r="C2463" i="57" s="1"/>
  <c r="K2427" i="57"/>
  <c r="C2455" i="57" s="1"/>
  <c r="B1253" i="57"/>
  <c r="F1253" i="57" s="1"/>
  <c r="D1300" i="57" s="1"/>
  <c r="B1251" i="57"/>
  <c r="E1251" i="57" s="1"/>
  <c r="B1243" i="57"/>
  <c r="B1241" i="57"/>
  <c r="B1233" i="57"/>
  <c r="E1233" i="57" s="1"/>
  <c r="C1292" i="57" s="1"/>
  <c r="B1231" i="57"/>
  <c r="B1230" i="57"/>
  <c r="J1230" i="57" s="1"/>
  <c r="B1220" i="57"/>
  <c r="F1220" i="57" s="1"/>
  <c r="B1218" i="57"/>
  <c r="B1217" i="57"/>
  <c r="D1217" i="57" s="1"/>
  <c r="B1212" i="57"/>
  <c r="B1206" i="57"/>
  <c r="D4441" i="57" s="1"/>
  <c r="B1201" i="57"/>
  <c r="B1196" i="57"/>
  <c r="D1196" i="57" s="1"/>
  <c r="B1190" i="57"/>
  <c r="B1184" i="57"/>
  <c r="B1179" i="57"/>
  <c r="B1172" i="57"/>
  <c r="B1167" i="57"/>
  <c r="D1167" i="57" s="1"/>
  <c r="B1162" i="57"/>
  <c r="G4397" i="57" s="1"/>
  <c r="B1250" i="57"/>
  <c r="J1250" i="57" s="1"/>
  <c r="B1240" i="57"/>
  <c r="D1240" i="57" s="1"/>
  <c r="B1229" i="57"/>
  <c r="J1229" i="57" s="1"/>
  <c r="B1216" i="57"/>
  <c r="H4451" i="57" s="1"/>
  <c r="B1210" i="57"/>
  <c r="B1205" i="57"/>
  <c r="D1205" i="57" s="1"/>
  <c r="B1200" i="57"/>
  <c r="B1194" i="57"/>
  <c r="B1188" i="57"/>
  <c r="E1188" i="57" s="1"/>
  <c r="B1183" i="57"/>
  <c r="B1178" i="57"/>
  <c r="E1178" i="57" s="1"/>
  <c r="B1171" i="57"/>
  <c r="B1166" i="57"/>
  <c r="B1160" i="57"/>
  <c r="D1160" i="57" s="1"/>
  <c r="D1168" i="57"/>
  <c r="D1202" i="57"/>
  <c r="D1238" i="57"/>
  <c r="B1294" i="57" s="1"/>
  <c r="D1245" i="57"/>
  <c r="C2887" i="57"/>
  <c r="D2929" i="57" s="1"/>
  <c r="C2883" i="57"/>
  <c r="D2925" i="57" s="1"/>
  <c r="C2879" i="57"/>
  <c r="D2921" i="57" s="1"/>
  <c r="C2875" i="57"/>
  <c r="D2917" i="57" s="1"/>
  <c r="C2871" i="57"/>
  <c r="D2913" i="57" s="1"/>
  <c r="C2867" i="57"/>
  <c r="D2909" i="57" s="1"/>
  <c r="C2863" i="57"/>
  <c r="D2905" i="57" s="1"/>
  <c r="C2859" i="57"/>
  <c r="D2901" i="57" s="1"/>
  <c r="G2888" i="57"/>
  <c r="H2930" i="57" s="1"/>
  <c r="G2887" i="57"/>
  <c r="H2929" i="57" s="1"/>
  <c r="G2886" i="57"/>
  <c r="H2928" i="57" s="1"/>
  <c r="G2885" i="57"/>
  <c r="H2927" i="57" s="1"/>
  <c r="G2884" i="57"/>
  <c r="H2926" i="57" s="1"/>
  <c r="G2883" i="57"/>
  <c r="H2925" i="57" s="1"/>
  <c r="G2882" i="57"/>
  <c r="H2924" i="57" s="1"/>
  <c r="G2881" i="57"/>
  <c r="H2923" i="57" s="1"/>
  <c r="G2880" i="57"/>
  <c r="H2922" i="57" s="1"/>
  <c r="G2879" i="57"/>
  <c r="H2921" i="57" s="1"/>
  <c r="G2878" i="57"/>
  <c r="H2920" i="57" s="1"/>
  <c r="G2877" i="57"/>
  <c r="H2919" i="57" s="1"/>
  <c r="G2876" i="57"/>
  <c r="H2918" i="57" s="1"/>
  <c r="G2875" i="57"/>
  <c r="H2917" i="57" s="1"/>
  <c r="G2874" i="57"/>
  <c r="H2916" i="57" s="1"/>
  <c r="G2873" i="57"/>
  <c r="H2915" i="57" s="1"/>
  <c r="G2872" i="57"/>
  <c r="H2914" i="57" s="1"/>
  <c r="G2871" i="57"/>
  <c r="H2913" i="57" s="1"/>
  <c r="G2870" i="57"/>
  <c r="H2912" i="57" s="1"/>
  <c r="G2869" i="57"/>
  <c r="H2911" i="57" s="1"/>
  <c r="G2868" i="57"/>
  <c r="H2910" i="57" s="1"/>
  <c r="G2867" i="57"/>
  <c r="H2909" i="57" s="1"/>
  <c r="G2866" i="57"/>
  <c r="H2908" i="57" s="1"/>
  <c r="G2865" i="57"/>
  <c r="H2907" i="57" s="1"/>
  <c r="G2864" i="57"/>
  <c r="H2906" i="57" s="1"/>
  <c r="G2863" i="57"/>
  <c r="H2905" i="57" s="1"/>
  <c r="G2862" i="57"/>
  <c r="H2904" i="57" s="1"/>
  <c r="G2861" i="57"/>
  <c r="H2903" i="57" s="1"/>
  <c r="G2860" i="57"/>
  <c r="H2902" i="57" s="1"/>
  <c r="G2859" i="57"/>
  <c r="H2901" i="57" s="1"/>
  <c r="G2858" i="57"/>
  <c r="H2900" i="57" s="1"/>
  <c r="G2857" i="57"/>
  <c r="H2899" i="57" s="1"/>
  <c r="G2856" i="57"/>
  <c r="H2898" i="57" s="1"/>
  <c r="B482" i="57"/>
  <c r="C907" i="57"/>
  <c r="L3569" i="57" s="1"/>
  <c r="C915" i="57"/>
  <c r="C923" i="57"/>
  <c r="L3585" i="57" s="1"/>
  <c r="B1147" i="57"/>
  <c r="B1152" i="57"/>
  <c r="B1164" i="57"/>
  <c r="B1176" i="57"/>
  <c r="B1187" i="57"/>
  <c r="J1187" i="57" s="1"/>
  <c r="B1198" i="57"/>
  <c r="B1209" i="57"/>
  <c r="H4444" i="57" s="1"/>
  <c r="B1224" i="57"/>
  <c r="J1224" i="57" s="1"/>
  <c r="B1225" i="57"/>
  <c r="B1227" i="57"/>
  <c r="J1227" i="57" s="1"/>
  <c r="H1290" i="57" s="1"/>
  <c r="B1246" i="57"/>
  <c r="D1246" i="57" s="1"/>
  <c r="B1297" i="57" s="1"/>
  <c r="B1248" i="57"/>
  <c r="D1248" i="57" s="1"/>
  <c r="B1298" i="57" s="1"/>
  <c r="D1567" i="57"/>
  <c r="D1569" i="57"/>
  <c r="D1571" i="57"/>
  <c r="X1582" i="57" s="1"/>
  <c r="D1573" i="57"/>
  <c r="AF1582" i="57" s="1"/>
  <c r="K2423" i="57"/>
  <c r="C2451" i="57" s="1"/>
  <c r="K2439" i="57"/>
  <c r="C2467" i="57" s="1"/>
  <c r="D4004" i="57"/>
  <c r="D4006" i="57"/>
  <c r="D4007" i="57"/>
  <c r="D4009" i="57"/>
  <c r="D4018" i="57"/>
  <c r="D4019" i="57"/>
  <c r="D4020" i="57"/>
  <c r="D4021" i="57"/>
  <c r="D4023" i="57"/>
  <c r="D4024" i="57"/>
  <c r="D4025" i="57"/>
  <c r="D4026" i="57"/>
  <c r="A2" i="51"/>
  <c r="G1204" i="57"/>
  <c r="C1996" i="57"/>
  <c r="B2008" i="57" s="1"/>
  <c r="B3399" i="57"/>
  <c r="B3414" i="57" s="1"/>
  <c r="B3713" i="57" s="1"/>
  <c r="B3398" i="57"/>
  <c r="B3413" i="57" s="1"/>
  <c r="B3711" i="57" s="1"/>
  <c r="C1329" i="57"/>
  <c r="B1346" i="57" s="1"/>
  <c r="B1712" i="57" s="1"/>
  <c r="C1380" i="57"/>
  <c r="B1393" i="57" s="1"/>
  <c r="C1333" i="57"/>
  <c r="B1350" i="57" s="1"/>
  <c r="D1328" i="57"/>
  <c r="C1345" i="57" s="1"/>
  <c r="B3400" i="57"/>
  <c r="B3415" i="57" s="1"/>
  <c r="B3715" i="57" s="1"/>
  <c r="B2965" i="57"/>
  <c r="B3137" i="57" s="1"/>
  <c r="B3354" i="57" s="1"/>
  <c r="B3366" i="57" s="1"/>
  <c r="B3695" i="57" s="1"/>
  <c r="J1223" i="57"/>
  <c r="D1223" i="57"/>
  <c r="D1186" i="57"/>
  <c r="H1186" i="57"/>
  <c r="J1186" i="57"/>
  <c r="C1328" i="57"/>
  <c r="B1345" i="57" s="1"/>
  <c r="C1376" i="57"/>
  <c r="B1389" i="57" s="1"/>
  <c r="E1330" i="57"/>
  <c r="D1347" i="57" s="1"/>
  <c r="D1639" i="57" s="1"/>
  <c r="E1334" i="57"/>
  <c r="D1351" i="57" s="1"/>
  <c r="E1333" i="57"/>
  <c r="D1350" i="57" s="1"/>
  <c r="E1328" i="57"/>
  <c r="D1345" i="57" s="1"/>
  <c r="C1378" i="57"/>
  <c r="B1391" i="57" s="1"/>
  <c r="E1380" i="57"/>
  <c r="D1393" i="57" s="1"/>
  <c r="Y1582" i="57"/>
  <c r="D1329" i="57"/>
  <c r="C1346" i="57" s="1"/>
  <c r="C1712" i="57" s="1"/>
  <c r="D1330" i="57"/>
  <c r="C1347" i="57" s="1"/>
  <c r="C1639" i="57" s="1"/>
  <c r="D1380" i="57"/>
  <c r="C1393" i="57" s="1"/>
  <c r="B2959" i="57"/>
  <c r="B3131" i="57" s="1"/>
  <c r="B2961" i="57"/>
  <c r="B3133" i="57" s="1"/>
  <c r="B2967" i="57"/>
  <c r="B3139" i="57" s="1"/>
  <c r="B3356" i="57" s="1"/>
  <c r="B3368" i="57" s="1"/>
  <c r="B3697" i="57" s="1"/>
  <c r="G4444" i="57"/>
  <c r="C4444" i="57"/>
  <c r="F4444" i="57"/>
  <c r="D4444" i="57"/>
  <c r="H1209" i="57"/>
  <c r="C1209" i="57"/>
  <c r="I1209" i="57"/>
  <c r="F1209" i="57"/>
  <c r="E1209" i="57"/>
  <c r="H4414" i="57"/>
  <c r="G4414" i="57"/>
  <c r="F4414" i="57"/>
  <c r="J1179" i="57"/>
  <c r="I1179" i="57"/>
  <c r="H1179" i="57"/>
  <c r="C1179" i="57"/>
  <c r="G1179" i="57" s="1"/>
  <c r="D1179" i="57"/>
  <c r="H4488" i="57"/>
  <c r="G4488" i="57"/>
  <c r="F4488" i="57"/>
  <c r="J1253" i="57"/>
  <c r="H1300" i="57" s="1"/>
  <c r="I1253" i="57"/>
  <c r="G1300" i="57" s="1"/>
  <c r="H1253" i="57"/>
  <c r="F1300" i="57" s="1"/>
  <c r="C1253" i="57"/>
  <c r="G1253" i="57" s="1"/>
  <c r="E1300" i="57" s="1"/>
  <c r="D1253" i="57"/>
  <c r="B1300" i="57" s="1"/>
  <c r="H4456" i="57"/>
  <c r="D4456" i="57"/>
  <c r="G4456" i="57"/>
  <c r="C4456" i="57"/>
  <c r="F4456" i="57"/>
  <c r="J1221" i="57"/>
  <c r="F1221" i="57"/>
  <c r="I1221" i="57"/>
  <c r="E1221" i="57"/>
  <c r="H1221" i="57"/>
  <c r="Y1608" i="57"/>
  <c r="Y1893" i="57" s="1"/>
  <c r="Y1612" i="57"/>
  <c r="Y1897" i="57" s="1"/>
  <c r="O129" i="56"/>
  <c r="F42" i="55"/>
  <c r="O95" i="56"/>
  <c r="F32" i="55"/>
  <c r="I18" i="55"/>
  <c r="I1188" i="57"/>
  <c r="H136" i="56"/>
  <c r="I45" i="55"/>
  <c r="C2105" i="57"/>
  <c r="C4462" i="57"/>
  <c r="C4433" i="57"/>
  <c r="H1198" i="57"/>
  <c r="E1198" i="57"/>
  <c r="F1233" i="57"/>
  <c r="D1292" i="57" s="1"/>
  <c r="H4406" i="57"/>
  <c r="C1171" i="57"/>
  <c r="G1171" i="57" s="1"/>
  <c r="H1171" i="57"/>
  <c r="F4451" i="57"/>
  <c r="E1216" i="57"/>
  <c r="I1162" i="57"/>
  <c r="J1206" i="57"/>
  <c r="C1206" i="57"/>
  <c r="F4455" i="57"/>
  <c r="H1220" i="57"/>
  <c r="H1241" i="57"/>
  <c r="F4398" i="57"/>
  <c r="F1163" i="57"/>
  <c r="F1251" i="57"/>
  <c r="D1224" i="57"/>
  <c r="F1183" i="57"/>
  <c r="H59" i="56"/>
  <c r="I72" i="55"/>
  <c r="L139" i="56"/>
  <c r="I1186" i="57"/>
  <c r="I73" i="56"/>
  <c r="J26" i="55"/>
  <c r="I50" i="56"/>
  <c r="J52" i="55"/>
  <c r="O127" i="56"/>
  <c r="J134" i="56"/>
  <c r="L134" i="56"/>
  <c r="J121" i="56"/>
  <c r="L121" i="56"/>
  <c r="G129" i="56"/>
  <c r="I45" i="56"/>
  <c r="J18" i="55"/>
  <c r="O136" i="56"/>
  <c r="F45" i="55"/>
  <c r="G41" i="56"/>
  <c r="H17" i="55"/>
  <c r="B633" i="57"/>
  <c r="B2975" i="57" s="1"/>
  <c r="B3452" i="57" s="1"/>
  <c r="D1178" i="57"/>
  <c r="G4399" i="57"/>
  <c r="F4399" i="57"/>
  <c r="G55" i="56" s="1"/>
  <c r="D4399" i="57"/>
  <c r="H4399" i="57"/>
  <c r="H1164" i="57"/>
  <c r="C1164" i="57"/>
  <c r="G1164" i="57" s="1"/>
  <c r="J1164" i="57"/>
  <c r="I1164" i="57"/>
  <c r="F1164" i="57"/>
  <c r="H4401" i="57"/>
  <c r="D4401" i="57"/>
  <c r="G4401" i="57"/>
  <c r="C4401" i="57"/>
  <c r="F4401" i="57"/>
  <c r="C1166" i="57"/>
  <c r="J1166" i="57"/>
  <c r="F1166" i="57"/>
  <c r="I1166" i="57"/>
  <c r="H1166" i="57"/>
  <c r="D1166" i="57"/>
  <c r="E1166" i="57"/>
  <c r="F4485" i="57"/>
  <c r="G4485" i="57"/>
  <c r="C1250" i="57"/>
  <c r="G1250" i="57" s="1"/>
  <c r="I1250" i="57"/>
  <c r="H1250" i="57"/>
  <c r="D1250" i="57"/>
  <c r="E1250" i="57"/>
  <c r="H4453" i="57"/>
  <c r="J1218" i="57"/>
  <c r="H1218" i="57"/>
  <c r="F4409" i="57"/>
  <c r="H4409" i="57"/>
  <c r="D4409" i="57"/>
  <c r="G4409" i="57"/>
  <c r="H65" i="56" s="1"/>
  <c r="I1174" i="57"/>
  <c r="G1275" i="57" s="1"/>
  <c r="H1174" i="57"/>
  <c r="F1275" i="57" s="1"/>
  <c r="C1174" i="57"/>
  <c r="G1174" i="57" s="1"/>
  <c r="E1275" i="57" s="1"/>
  <c r="C3267" i="57" s="1"/>
  <c r="J1174" i="57"/>
  <c r="H1275" i="57" s="1"/>
  <c r="F1174" i="57"/>
  <c r="D1275" i="57" s="1"/>
  <c r="C2103" i="57"/>
  <c r="F4460" i="57"/>
  <c r="F1225" i="57"/>
  <c r="H4382" i="57"/>
  <c r="G4382" i="57"/>
  <c r="J1147" i="57"/>
  <c r="F1147" i="57"/>
  <c r="I1147" i="57"/>
  <c r="C1147" i="57"/>
  <c r="G1147" i="57" s="1"/>
  <c r="H1147" i="57"/>
  <c r="D1147" i="57"/>
  <c r="E1174" i="57"/>
  <c r="C1275" i="57" s="1"/>
  <c r="H4413" i="57"/>
  <c r="G4413" i="57"/>
  <c r="F4413" i="57"/>
  <c r="C1178" i="57"/>
  <c r="G1178" i="57" s="1"/>
  <c r="J1178" i="57"/>
  <c r="I1178" i="57"/>
  <c r="H1178" i="57"/>
  <c r="H4435" i="57"/>
  <c r="D4435" i="57"/>
  <c r="G4435" i="57"/>
  <c r="C4435" i="57"/>
  <c r="F4435" i="57"/>
  <c r="G91" i="56" s="1"/>
  <c r="C1200" i="57"/>
  <c r="J1200" i="57"/>
  <c r="F1200" i="57"/>
  <c r="I1200" i="57"/>
  <c r="H1200" i="57"/>
  <c r="E1200" i="57"/>
  <c r="D1200" i="57"/>
  <c r="G4464" i="57"/>
  <c r="H120" i="56" s="1"/>
  <c r="F4464" i="57"/>
  <c r="C1229" i="57"/>
  <c r="G1229" i="57" s="1"/>
  <c r="I1229" i="57"/>
  <c r="H1229" i="57"/>
  <c r="D1229" i="57"/>
  <c r="E1229" i="57"/>
  <c r="H4402" i="57"/>
  <c r="D4402" i="57"/>
  <c r="G4402" i="57"/>
  <c r="C4402" i="57"/>
  <c r="F4402" i="57"/>
  <c r="J1167" i="57"/>
  <c r="F1167" i="57"/>
  <c r="I1167" i="57"/>
  <c r="E1167" i="57"/>
  <c r="C1273" i="57" s="1"/>
  <c r="H1167" i="57"/>
  <c r="C1167" i="57"/>
  <c r="H4447" i="57"/>
  <c r="G4447" i="57"/>
  <c r="F4447" i="57"/>
  <c r="J1212" i="57"/>
  <c r="I1212" i="57"/>
  <c r="H1212" i="57"/>
  <c r="C1212" i="57"/>
  <c r="F4465" i="57"/>
  <c r="G4465" i="57"/>
  <c r="I1230" i="57"/>
  <c r="H1230" i="57"/>
  <c r="D1230" i="57"/>
  <c r="F4478" i="57"/>
  <c r="H4478" i="57"/>
  <c r="G4478" i="57"/>
  <c r="J1243" i="57"/>
  <c r="H1296" i="57" s="1"/>
  <c r="I1243" i="57"/>
  <c r="G1296" i="57" s="1"/>
  <c r="C1243" i="57"/>
  <c r="G1243" i="57" s="1"/>
  <c r="E1296" i="57" s="1"/>
  <c r="H1243" i="57"/>
  <c r="F1296" i="57" s="1"/>
  <c r="B2105" i="57"/>
  <c r="AE1582" i="57"/>
  <c r="F4432" i="57"/>
  <c r="H4432" i="57"/>
  <c r="D4432" i="57"/>
  <c r="G4432" i="57"/>
  <c r="C4432" i="57"/>
  <c r="I1197" i="57"/>
  <c r="E1197" i="57"/>
  <c r="H1197" i="57"/>
  <c r="C1197" i="57"/>
  <c r="J1197" i="57"/>
  <c r="F1197" i="57"/>
  <c r="H4391" i="57"/>
  <c r="D4391" i="57"/>
  <c r="G4391" i="57"/>
  <c r="C4391" i="57"/>
  <c r="F4391" i="57"/>
  <c r="J1156" i="57"/>
  <c r="I1156" i="57"/>
  <c r="E1156" i="57"/>
  <c r="H1156" i="57"/>
  <c r="C1156" i="57"/>
  <c r="D1156" i="57"/>
  <c r="F1156" i="57"/>
  <c r="K3569" i="57"/>
  <c r="D907" i="57"/>
  <c r="E1190" i="57"/>
  <c r="F1179" i="57"/>
  <c r="F72" i="55"/>
  <c r="I39" i="56"/>
  <c r="J67" i="55"/>
  <c r="X1612" i="57"/>
  <c r="X1897" i="57" s="1"/>
  <c r="AF1610" i="57"/>
  <c r="AF1895" i="57" s="1"/>
  <c r="X1608" i="57"/>
  <c r="X1893" i="57" s="1"/>
  <c r="AF1598" i="57"/>
  <c r="AF1704" i="57" s="1"/>
  <c r="AF1611" i="57"/>
  <c r="AF1896" i="57" s="1"/>
  <c r="X1609" i="57"/>
  <c r="X1894" i="57" s="1"/>
  <c r="AF1607" i="57"/>
  <c r="AF1892" i="57" s="1"/>
  <c r="AF1595" i="57"/>
  <c r="AF1703" i="57" s="1"/>
  <c r="AF1612" i="57"/>
  <c r="AF1897" i="57" s="1"/>
  <c r="X1598" i="57"/>
  <c r="X1704" i="57" s="1"/>
  <c r="X1611" i="57"/>
  <c r="X1896" i="57" s="1"/>
  <c r="AF1609" i="57"/>
  <c r="AF1894" i="57" s="1"/>
  <c r="X1595" i="57"/>
  <c r="X1703" i="57" s="1"/>
  <c r="X1610" i="57"/>
  <c r="X1895" i="57" s="1"/>
  <c r="AF1608" i="57"/>
  <c r="AF1893" i="57" s="1"/>
  <c r="X1607" i="57"/>
  <c r="X1892" i="57" s="1"/>
  <c r="D1221" i="57"/>
  <c r="J104" i="56"/>
  <c r="L104" i="56"/>
  <c r="D1206" i="57"/>
  <c r="B1284" i="57" s="1"/>
  <c r="E1186" i="57"/>
  <c r="E1179" i="57"/>
  <c r="H26" i="55"/>
  <c r="G73" i="56"/>
  <c r="G50" i="56"/>
  <c r="H52" i="55"/>
  <c r="D1194" i="57"/>
  <c r="G127" i="56"/>
  <c r="H88" i="55"/>
  <c r="J51" i="55"/>
  <c r="I46" i="56"/>
  <c r="C695" i="57"/>
  <c r="D694" i="57"/>
  <c r="F557" i="57"/>
  <c r="F599" i="57" s="1"/>
  <c r="F641" i="57" s="1"/>
  <c r="F553" i="57"/>
  <c r="F595" i="57" s="1"/>
  <c r="F637" i="57" s="1"/>
  <c r="F549" i="57"/>
  <c r="F591" i="57" s="1"/>
  <c r="F633" i="57" s="1"/>
  <c r="F545" i="57"/>
  <c r="F587" i="57" s="1"/>
  <c r="F629" i="57" s="1"/>
  <c r="F541" i="57"/>
  <c r="F583" i="57" s="1"/>
  <c r="F625" i="57" s="1"/>
  <c r="F537" i="57"/>
  <c r="F579" i="57" s="1"/>
  <c r="F621" i="57" s="1"/>
  <c r="F533" i="57"/>
  <c r="F575" i="57" s="1"/>
  <c r="F617" i="57" s="1"/>
  <c r="F529" i="57"/>
  <c r="F571" i="57" s="1"/>
  <c r="F613" i="57" s="1"/>
  <c r="F560" i="57"/>
  <c r="F602" i="57" s="1"/>
  <c r="F644" i="57" s="1"/>
  <c r="F556" i="57"/>
  <c r="F598" i="57" s="1"/>
  <c r="F640" i="57" s="1"/>
  <c r="F552" i="57"/>
  <c r="F594" i="57" s="1"/>
  <c r="F636" i="57" s="1"/>
  <c r="F548" i="57"/>
  <c r="F590" i="57" s="1"/>
  <c r="F632" i="57" s="1"/>
  <c r="F544" i="57"/>
  <c r="F586" i="57" s="1"/>
  <c r="F628" i="57" s="1"/>
  <c r="F540" i="57"/>
  <c r="F582" i="57" s="1"/>
  <c r="F624" i="57" s="1"/>
  <c r="F536" i="57"/>
  <c r="F578" i="57" s="1"/>
  <c r="F620" i="57" s="1"/>
  <c r="F532" i="57"/>
  <c r="F574" i="57" s="1"/>
  <c r="F616" i="57" s="1"/>
  <c r="F528" i="57"/>
  <c r="F570" i="57" s="1"/>
  <c r="F612" i="57" s="1"/>
  <c r="F558" i="57"/>
  <c r="F600" i="57" s="1"/>
  <c r="F642" i="57" s="1"/>
  <c r="F546" i="57"/>
  <c r="F588" i="57" s="1"/>
  <c r="F630" i="57" s="1"/>
  <c r="F543" i="57"/>
  <c r="F585" i="57" s="1"/>
  <c r="F627" i="57" s="1"/>
  <c r="F559" i="57"/>
  <c r="F601" i="57" s="1"/>
  <c r="F643" i="57" s="1"/>
  <c r="F555" i="57"/>
  <c r="F597" i="57" s="1"/>
  <c r="F639" i="57" s="1"/>
  <c r="F554" i="57"/>
  <c r="F596" i="57" s="1"/>
  <c r="F638" i="57" s="1"/>
  <c r="F551" i="57"/>
  <c r="F593" i="57" s="1"/>
  <c r="F635" i="57" s="1"/>
  <c r="F542" i="57"/>
  <c r="F584" i="57" s="1"/>
  <c r="F626" i="57" s="1"/>
  <c r="F539" i="57"/>
  <c r="F581" i="57" s="1"/>
  <c r="F623" i="57" s="1"/>
  <c r="F534" i="57"/>
  <c r="F576" i="57" s="1"/>
  <c r="F618" i="57" s="1"/>
  <c r="F530" i="57"/>
  <c r="F572" i="57" s="1"/>
  <c r="F614" i="57" s="1"/>
  <c r="F550" i="57"/>
  <c r="F592" i="57" s="1"/>
  <c r="F634" i="57" s="1"/>
  <c r="F547" i="57"/>
  <c r="F589" i="57" s="1"/>
  <c r="F631" i="57" s="1"/>
  <c r="F538" i="57"/>
  <c r="F580" i="57" s="1"/>
  <c r="F622" i="57" s="1"/>
  <c r="F535" i="57"/>
  <c r="F577" i="57" s="1"/>
  <c r="F619" i="57" s="1"/>
  <c r="F531" i="57"/>
  <c r="F573" i="57" s="1"/>
  <c r="F615" i="57" s="1"/>
  <c r="J1251" i="57"/>
  <c r="H1299" i="57" s="1"/>
  <c r="E1243" i="57"/>
  <c r="C1296" i="57" s="1"/>
  <c r="F1188" i="57"/>
  <c r="J63" i="56"/>
  <c r="L63" i="56"/>
  <c r="N129" i="56"/>
  <c r="E42" i="55"/>
  <c r="F95" i="56"/>
  <c r="G32" i="55"/>
  <c r="G95" i="56"/>
  <c r="H32" i="55"/>
  <c r="E558" i="57"/>
  <c r="E600" i="57" s="1"/>
  <c r="E642" i="57" s="1"/>
  <c r="E554" i="57"/>
  <c r="E596" i="57" s="1"/>
  <c r="E638" i="57" s="1"/>
  <c r="E550" i="57"/>
  <c r="E592" i="57" s="1"/>
  <c r="E634" i="57" s="1"/>
  <c r="E546" i="57"/>
  <c r="E588" i="57" s="1"/>
  <c r="E630" i="57" s="1"/>
  <c r="E542" i="57"/>
  <c r="E584" i="57" s="1"/>
  <c r="E626" i="57" s="1"/>
  <c r="E538" i="57"/>
  <c r="E580" i="57" s="1"/>
  <c r="E622" i="57" s="1"/>
  <c r="E534" i="57"/>
  <c r="E576" i="57" s="1"/>
  <c r="E618" i="57" s="1"/>
  <c r="E530" i="57"/>
  <c r="E572" i="57" s="1"/>
  <c r="E614" i="57" s="1"/>
  <c r="E557" i="57"/>
  <c r="E599" i="57" s="1"/>
  <c r="E641" i="57" s="1"/>
  <c r="E553" i="57"/>
  <c r="E595" i="57" s="1"/>
  <c r="E637" i="57" s="1"/>
  <c r="E549" i="57"/>
  <c r="E591" i="57" s="1"/>
  <c r="E633" i="57" s="1"/>
  <c r="E545" i="57"/>
  <c r="E587" i="57" s="1"/>
  <c r="E629" i="57" s="1"/>
  <c r="E541" i="57"/>
  <c r="E583" i="57" s="1"/>
  <c r="E625" i="57" s="1"/>
  <c r="E537" i="57"/>
  <c r="E579" i="57" s="1"/>
  <c r="E621" i="57" s="1"/>
  <c r="E533" i="57"/>
  <c r="E575" i="57" s="1"/>
  <c r="E617" i="57" s="1"/>
  <c r="E529" i="57"/>
  <c r="E571" i="57" s="1"/>
  <c r="E613" i="57" s="1"/>
  <c r="E560" i="57"/>
  <c r="E602" i="57" s="1"/>
  <c r="E644" i="57" s="1"/>
  <c r="E559" i="57"/>
  <c r="E601" i="57" s="1"/>
  <c r="E643" i="57" s="1"/>
  <c r="E556" i="57"/>
  <c r="E598" i="57" s="1"/>
  <c r="E640" i="57" s="1"/>
  <c r="E555" i="57"/>
  <c r="E597" i="57" s="1"/>
  <c r="E639" i="57" s="1"/>
  <c r="E552" i="57"/>
  <c r="E594" i="57" s="1"/>
  <c r="E636" i="57" s="1"/>
  <c r="E551" i="57"/>
  <c r="E593" i="57" s="1"/>
  <c r="E635" i="57" s="1"/>
  <c r="E548" i="57"/>
  <c r="E590" i="57" s="1"/>
  <c r="E632" i="57" s="1"/>
  <c r="E547" i="57"/>
  <c r="E589" i="57" s="1"/>
  <c r="E631" i="57" s="1"/>
  <c r="E544" i="57"/>
  <c r="E586" i="57" s="1"/>
  <c r="E628" i="57" s="1"/>
  <c r="E543" i="57"/>
  <c r="E585" i="57" s="1"/>
  <c r="E627" i="57" s="1"/>
  <c r="E540" i="57"/>
  <c r="E582" i="57" s="1"/>
  <c r="E624" i="57" s="1"/>
  <c r="E539" i="57"/>
  <c r="E581" i="57" s="1"/>
  <c r="E623" i="57" s="1"/>
  <c r="E536" i="57"/>
  <c r="E578" i="57" s="1"/>
  <c r="E620" i="57" s="1"/>
  <c r="E535" i="57"/>
  <c r="E577" i="57" s="1"/>
  <c r="E619" i="57" s="1"/>
  <c r="E532" i="57"/>
  <c r="E574" i="57" s="1"/>
  <c r="E616" i="57" s="1"/>
  <c r="E531" i="57"/>
  <c r="E573" i="57" s="1"/>
  <c r="E615" i="57" s="1"/>
  <c r="E528" i="57"/>
  <c r="E570" i="57" s="1"/>
  <c r="E612" i="57" s="1"/>
  <c r="D1162" i="57"/>
  <c r="H71" i="56"/>
  <c r="I74" i="55"/>
  <c r="H18" i="55"/>
  <c r="G45" i="56"/>
  <c r="J1225" i="57"/>
  <c r="E1194" i="57"/>
  <c r="H45" i="55"/>
  <c r="G136" i="56"/>
  <c r="H41" i="56"/>
  <c r="I17" i="55"/>
  <c r="B2963" i="57"/>
  <c r="B3135" i="57" s="1"/>
  <c r="E1164" i="57"/>
  <c r="D4481" i="57"/>
  <c r="G4481" i="57"/>
  <c r="C4481" i="57"/>
  <c r="F4481" i="57"/>
  <c r="I1246" i="57"/>
  <c r="G1297" i="57" s="1"/>
  <c r="E1246" i="57"/>
  <c r="C1297" i="57" s="1"/>
  <c r="H1246" i="57"/>
  <c r="F1297" i="57" s="1"/>
  <c r="F1246" i="57"/>
  <c r="D1297" i="57" s="1"/>
  <c r="H4445" i="57"/>
  <c r="D4445" i="57"/>
  <c r="G4445" i="57"/>
  <c r="C4445" i="57"/>
  <c r="F4445" i="57"/>
  <c r="C1210" i="57"/>
  <c r="J1210" i="57"/>
  <c r="F1210" i="57"/>
  <c r="I1210" i="57"/>
  <c r="H1210" i="57"/>
  <c r="D1210" i="57"/>
  <c r="E1210" i="57"/>
  <c r="H4436" i="57"/>
  <c r="D4436" i="57"/>
  <c r="G4436" i="57"/>
  <c r="C4436" i="57"/>
  <c r="F4436" i="57"/>
  <c r="J1201" i="57"/>
  <c r="F1201" i="57"/>
  <c r="I1201" i="57"/>
  <c r="E1201" i="57"/>
  <c r="H1201" i="57"/>
  <c r="C1201" i="57"/>
  <c r="D1201" i="57"/>
  <c r="H4468" i="57"/>
  <c r="G4468" i="57"/>
  <c r="F4468" i="57"/>
  <c r="J1233" i="57"/>
  <c r="H1292" i="57" s="1"/>
  <c r="I1233" i="57"/>
  <c r="G1292" i="57" s="1"/>
  <c r="H1233" i="57"/>
  <c r="F1292" i="57" s="1"/>
  <c r="C1233" i="57"/>
  <c r="G1233" i="57" s="1"/>
  <c r="E1292" i="57" s="1"/>
  <c r="B2101" i="57"/>
  <c r="O1582" i="57"/>
  <c r="O1609" i="57" s="1"/>
  <c r="O1894" i="57" s="1"/>
  <c r="H4381" i="57"/>
  <c r="D4381" i="57"/>
  <c r="G4381" i="57"/>
  <c r="C4381" i="57"/>
  <c r="F4381" i="57"/>
  <c r="C1146" i="57"/>
  <c r="G1146" i="57" s="1"/>
  <c r="J1146" i="57"/>
  <c r="F1146" i="57"/>
  <c r="D1146" i="57"/>
  <c r="E1146" i="57"/>
  <c r="I1146" i="57"/>
  <c r="H1146" i="57"/>
  <c r="E1253" i="57"/>
  <c r="C1300" i="57" s="1"/>
  <c r="F1250" i="57"/>
  <c r="D1299" i="57" s="1"/>
  <c r="J109" i="56"/>
  <c r="L109" i="56"/>
  <c r="D1209" i="57"/>
  <c r="F52" i="55"/>
  <c r="O50" i="56"/>
  <c r="H50" i="56"/>
  <c r="I52" i="55"/>
  <c r="D1980" i="57"/>
  <c r="I88" i="55"/>
  <c r="H127" i="56"/>
  <c r="G83" i="55"/>
  <c r="F105" i="56"/>
  <c r="AE1609" i="57"/>
  <c r="AE1894" i="57" s="1"/>
  <c r="AE1610" i="57"/>
  <c r="AE1895" i="57" s="1"/>
  <c r="AE1598" i="57"/>
  <c r="AE1704" i="57" s="1"/>
  <c r="AE1607" i="57"/>
  <c r="AE1892" i="57" s="1"/>
  <c r="AE1612" i="57"/>
  <c r="AE1897" i="57" s="1"/>
  <c r="O1607" i="57"/>
  <c r="O1892" i="57" s="1"/>
  <c r="AE1611" i="57"/>
  <c r="AE1896" i="57" s="1"/>
  <c r="AE1595" i="57"/>
  <c r="AE1703" i="57" s="1"/>
  <c r="AE1608" i="57"/>
  <c r="AE1893" i="57" s="1"/>
  <c r="J1246" i="57"/>
  <c r="H1297" i="57" s="1"/>
  <c r="J127" i="56"/>
  <c r="L127" i="56"/>
  <c r="G1214" i="57"/>
  <c r="D1164" i="57"/>
  <c r="H95" i="56"/>
  <c r="I32" i="55"/>
  <c r="O45" i="56"/>
  <c r="F18" i="55"/>
  <c r="I41" i="56"/>
  <c r="J17" i="55"/>
  <c r="E4122" i="57"/>
  <c r="C2101" i="57"/>
  <c r="P1582" i="57"/>
  <c r="H4483" i="57"/>
  <c r="D4483" i="57"/>
  <c r="G4483" i="57"/>
  <c r="C4483" i="57"/>
  <c r="F4483" i="57"/>
  <c r="H1248" i="57"/>
  <c r="F1298" i="57" s="1"/>
  <c r="C1248" i="57"/>
  <c r="G1248" i="57" s="1"/>
  <c r="E1298" i="57" s="1"/>
  <c r="J1248" i="57"/>
  <c r="H1298" i="57" s="1"/>
  <c r="I1248" i="57"/>
  <c r="G1298" i="57" s="1"/>
  <c r="F1248" i="57"/>
  <c r="D1298" i="57" s="1"/>
  <c r="E1248" i="57"/>
  <c r="C1298" i="57" s="1"/>
  <c r="F4459" i="57"/>
  <c r="D4459" i="57"/>
  <c r="C4459" i="57"/>
  <c r="G4459" i="57"/>
  <c r="I1224" i="57"/>
  <c r="E1224" i="57"/>
  <c r="H1224" i="57"/>
  <c r="F1224" i="57"/>
  <c r="G4411" i="57"/>
  <c r="F4411" i="57"/>
  <c r="H4411" i="57"/>
  <c r="D4411" i="57"/>
  <c r="H1176" i="57"/>
  <c r="F1276" i="57" s="1"/>
  <c r="C1176" i="57"/>
  <c r="G1176" i="57" s="1"/>
  <c r="E1276" i="57" s="1"/>
  <c r="C3268" i="57" s="1"/>
  <c r="J1176" i="57"/>
  <c r="H1276" i="57" s="1"/>
  <c r="I1176" i="57"/>
  <c r="G1276" i="57" s="1"/>
  <c r="E1176" i="57"/>
  <c r="C1276" i="57" s="1"/>
  <c r="F1176" i="57"/>
  <c r="D1276" i="57" s="1"/>
  <c r="D513" i="57"/>
  <c r="C744" i="57"/>
  <c r="D1197" i="57"/>
  <c r="F1190" i="57"/>
  <c r="H4395" i="57"/>
  <c r="D4395" i="57"/>
  <c r="G4395" i="57"/>
  <c r="C4395" i="57"/>
  <c r="F4395" i="57"/>
  <c r="C1160" i="57"/>
  <c r="G1160" i="57" s="1"/>
  <c r="E1271" i="57" s="1"/>
  <c r="C3264" i="57" s="1"/>
  <c r="J1160" i="57"/>
  <c r="F1160" i="57"/>
  <c r="D1271" i="57" s="1"/>
  <c r="D3890" i="57" s="1"/>
  <c r="C4040" i="57" s="1"/>
  <c r="E1160" i="57"/>
  <c r="H1160" i="57"/>
  <c r="I1160" i="57"/>
  <c r="H4418" i="57"/>
  <c r="I74" i="56" s="1"/>
  <c r="G4418" i="57"/>
  <c r="F4418" i="57"/>
  <c r="C1183" i="57"/>
  <c r="G1183" i="57" s="1"/>
  <c r="J1183" i="57"/>
  <c r="H1183" i="57"/>
  <c r="I1183" i="57"/>
  <c r="H4440" i="57"/>
  <c r="D4440" i="57"/>
  <c r="G4440" i="57"/>
  <c r="C4440" i="57"/>
  <c r="F4440" i="57"/>
  <c r="C1205" i="57"/>
  <c r="E4440" i="57" s="1"/>
  <c r="J1205" i="57"/>
  <c r="F1205" i="57"/>
  <c r="E1205" i="57"/>
  <c r="H1205" i="57"/>
  <c r="I1205" i="57"/>
  <c r="G4475" i="57"/>
  <c r="F4475" i="57"/>
  <c r="C1240" i="57"/>
  <c r="G1240" i="57" s="1"/>
  <c r="E1295" i="57" s="1"/>
  <c r="H1240" i="57"/>
  <c r="I1240" i="57"/>
  <c r="H4407" i="57"/>
  <c r="D4407" i="57"/>
  <c r="G4407" i="57"/>
  <c r="I73" i="55" s="1"/>
  <c r="F4407" i="57"/>
  <c r="J1172" i="57"/>
  <c r="F1172" i="57"/>
  <c r="I1172" i="57"/>
  <c r="C1172" i="57"/>
  <c r="G1172" i="57" s="1"/>
  <c r="H1172" i="57"/>
  <c r="H4431" i="57"/>
  <c r="J30" i="55" s="1"/>
  <c r="D4431" i="57"/>
  <c r="G4431" i="57"/>
  <c r="C4431" i="57"/>
  <c r="F4431" i="57"/>
  <c r="G87" i="56" s="1"/>
  <c r="J1196" i="57"/>
  <c r="F1196" i="57"/>
  <c r="I1196" i="57"/>
  <c r="E1196" i="57"/>
  <c r="C1196" i="57"/>
  <c r="H1196" i="57"/>
  <c r="H4452" i="57"/>
  <c r="I108" i="56" s="1"/>
  <c r="D4452" i="57"/>
  <c r="G4452" i="57"/>
  <c r="C4452" i="57"/>
  <c r="F4452" i="57"/>
  <c r="J1217" i="57"/>
  <c r="F1217" i="57"/>
  <c r="E1217" i="57"/>
  <c r="H1217" i="57"/>
  <c r="I1217" i="57"/>
  <c r="G4466" i="57"/>
  <c r="F4466" i="57"/>
  <c r="I1231" i="57"/>
  <c r="H1231" i="57"/>
  <c r="E1231" i="57"/>
  <c r="G4486" i="57"/>
  <c r="F4486" i="57"/>
  <c r="H91" i="55" s="1"/>
  <c r="I1251" i="57"/>
  <c r="H1251" i="57"/>
  <c r="F1299" i="57" s="1"/>
  <c r="W1582" i="57"/>
  <c r="W1612" i="57" s="1"/>
  <c r="W1897" i="57" s="1"/>
  <c r="B2103" i="57"/>
  <c r="D4458" i="57"/>
  <c r="G4458" i="57"/>
  <c r="C4458" i="57"/>
  <c r="F4458" i="57"/>
  <c r="I1223" i="57"/>
  <c r="E1223" i="57"/>
  <c r="H1223" i="57"/>
  <c r="C1223" i="57"/>
  <c r="G1223" i="57" s="1"/>
  <c r="E1289" i="57" s="1"/>
  <c r="F1223" i="57"/>
  <c r="D1289" i="57" s="1"/>
  <c r="C1186" i="57"/>
  <c r="F1186" i="57"/>
  <c r="H4386" i="57"/>
  <c r="D4386" i="57"/>
  <c r="G4386" i="57"/>
  <c r="F4386" i="57"/>
  <c r="G42" i="56" s="1"/>
  <c r="C1151" i="57"/>
  <c r="G1151" i="57" s="1"/>
  <c r="J1151" i="57"/>
  <c r="F1151" i="57"/>
  <c r="H1151" i="57"/>
  <c r="I1151" i="57"/>
  <c r="F1231" i="57"/>
  <c r="F1178" i="57"/>
  <c r="E1163" i="57"/>
  <c r="I59" i="56"/>
  <c r="J72" i="55"/>
  <c r="J1240" i="57"/>
  <c r="F1230" i="57"/>
  <c r="D1218" i="57"/>
  <c r="E1184" i="57"/>
  <c r="D1176" i="57"/>
  <c r="B1276" i="57" s="1"/>
  <c r="D1163" i="57"/>
  <c r="H73" i="56"/>
  <c r="I26" i="55"/>
  <c r="E52" i="55"/>
  <c r="N50" i="56"/>
  <c r="H1188" i="57"/>
  <c r="N127" i="56"/>
  <c r="E88" i="55"/>
  <c r="E1230" i="57"/>
  <c r="E4389" i="57"/>
  <c r="G18" i="55" s="1"/>
  <c r="G1154" i="57"/>
  <c r="H641" i="57"/>
  <c r="H637" i="57"/>
  <c r="H633" i="57"/>
  <c r="H629" i="57"/>
  <c r="H625" i="57"/>
  <c r="H621" i="57"/>
  <c r="H617" i="57"/>
  <c r="H613" i="57"/>
  <c r="H644" i="57"/>
  <c r="H640" i="57"/>
  <c r="H636" i="57"/>
  <c r="H632" i="57"/>
  <c r="H628" i="57"/>
  <c r="H624" i="57"/>
  <c r="H620" i="57"/>
  <c r="H616" i="57"/>
  <c r="H612" i="57"/>
  <c r="H638" i="57"/>
  <c r="H630" i="57"/>
  <c r="H622" i="57"/>
  <c r="H614" i="57"/>
  <c r="H643" i="57"/>
  <c r="H635" i="57"/>
  <c r="H627" i="57"/>
  <c r="H619" i="57"/>
  <c r="H631" i="57"/>
  <c r="H615" i="57"/>
  <c r="H642" i="57"/>
  <c r="H634" i="57"/>
  <c r="H626" i="57"/>
  <c r="H618" i="57"/>
  <c r="H639" i="57"/>
  <c r="H623" i="57"/>
  <c r="J132" i="56"/>
  <c r="L132" i="56"/>
  <c r="F1229" i="57"/>
  <c r="J1194" i="57"/>
  <c r="H1281" i="57" s="1"/>
  <c r="I1187" i="57"/>
  <c r="G1279" i="57" s="1"/>
  <c r="J71" i="56"/>
  <c r="L71" i="56"/>
  <c r="E1172" i="57"/>
  <c r="J643" i="57"/>
  <c r="J639" i="57"/>
  <c r="J635" i="57"/>
  <c r="J631" i="57"/>
  <c r="J627" i="57"/>
  <c r="J623" i="57"/>
  <c r="J619" i="57"/>
  <c r="J615" i="57"/>
  <c r="J642" i="57"/>
  <c r="J638" i="57"/>
  <c r="J634" i="57"/>
  <c r="J630" i="57"/>
  <c r="J626" i="57"/>
  <c r="J622" i="57"/>
  <c r="J618" i="57"/>
  <c r="J614" i="57"/>
  <c r="J644" i="57"/>
  <c r="J636" i="57"/>
  <c r="J628" i="57"/>
  <c r="J620" i="57"/>
  <c r="J612" i="57"/>
  <c r="J641" i="57"/>
  <c r="J633" i="57"/>
  <c r="J625" i="57"/>
  <c r="J617" i="57"/>
  <c r="J637" i="57"/>
  <c r="J621" i="57"/>
  <c r="J613" i="57"/>
  <c r="J640" i="57"/>
  <c r="J632" i="57"/>
  <c r="J624" i="57"/>
  <c r="J616" i="57"/>
  <c r="J629" i="57"/>
  <c r="I129" i="56"/>
  <c r="J42" i="55"/>
  <c r="H129" i="56"/>
  <c r="I42" i="55"/>
  <c r="N95" i="56"/>
  <c r="E32" i="55"/>
  <c r="D1241" i="57"/>
  <c r="B1295" i="57" s="1"/>
  <c r="N49" i="56"/>
  <c r="E19" i="55"/>
  <c r="G49" i="56"/>
  <c r="H19" i="55"/>
  <c r="N45" i="56"/>
  <c r="E18" i="55"/>
  <c r="D1220" i="57"/>
  <c r="B1288" i="57" s="1"/>
  <c r="D1172" i="57"/>
  <c r="E45" i="55"/>
  <c r="N136" i="56"/>
  <c r="O41" i="56"/>
  <c r="F17" i="55"/>
  <c r="B2971" i="57"/>
  <c r="B3143" i="57" s="1"/>
  <c r="D1251" i="57"/>
  <c r="D1233" i="57"/>
  <c r="B1292" i="57" s="1"/>
  <c r="J7" i="51"/>
  <c r="I7" i="51"/>
  <c r="H7" i="51"/>
  <c r="G7" i="51"/>
  <c r="F7" i="51"/>
  <c r="E7" i="51"/>
  <c r="D7" i="51"/>
  <c r="F1282" i="57"/>
  <c r="B1268" i="57"/>
  <c r="F1295" i="57"/>
  <c r="H1284" i="57"/>
  <c r="C1282" i="57"/>
  <c r="F1288" i="57"/>
  <c r="F1268" i="57"/>
  <c r="B1283" i="57"/>
  <c r="B3902" i="57" s="1"/>
  <c r="C3986" i="57" s="1"/>
  <c r="G1299" i="57"/>
  <c r="C1291" i="57"/>
  <c r="H1283" i="57"/>
  <c r="E1996" i="57"/>
  <c r="D2008" i="57" s="1"/>
  <c r="E1995" i="57"/>
  <c r="D2007" i="57" s="1"/>
  <c r="E1993" i="57"/>
  <c r="D2005" i="57" s="1"/>
  <c r="E1994" i="57"/>
  <c r="D2006" i="57" s="1"/>
  <c r="H1289" i="57"/>
  <c r="F1273" i="57"/>
  <c r="D1994" i="57"/>
  <c r="C2006" i="57" s="1"/>
  <c r="D1995" i="57"/>
  <c r="C2007" i="57" s="1"/>
  <c r="D1993" i="57"/>
  <c r="C2005" i="57" s="1"/>
  <c r="D1996" i="57"/>
  <c r="C2008" i="57" s="1"/>
  <c r="B1272" i="57"/>
  <c r="B3891" i="57" s="1"/>
  <c r="C3975" i="57" s="1"/>
  <c r="F1291" i="57"/>
  <c r="G1273" i="57"/>
  <c r="O58" i="56"/>
  <c r="F54" i="55"/>
  <c r="E4401" i="57"/>
  <c r="G1166" i="57"/>
  <c r="O57" i="56"/>
  <c r="F21" i="55"/>
  <c r="E4441" i="57"/>
  <c r="G1206" i="57"/>
  <c r="G107" i="56"/>
  <c r="H35" i="55"/>
  <c r="J55" i="55"/>
  <c r="I62" i="56"/>
  <c r="N118" i="56"/>
  <c r="E38" i="55"/>
  <c r="O112" i="56"/>
  <c r="F85" i="55"/>
  <c r="H144" i="56"/>
  <c r="I48" i="55"/>
  <c r="I56" i="55"/>
  <c r="H70" i="56"/>
  <c r="E4444" i="57"/>
  <c r="G1209" i="57"/>
  <c r="G100" i="56"/>
  <c r="H62" i="55"/>
  <c r="B1436" i="57"/>
  <c r="H50" i="55"/>
  <c r="N114" i="56"/>
  <c r="E37" i="55"/>
  <c r="O108" i="56"/>
  <c r="F64" i="55"/>
  <c r="I87" i="56"/>
  <c r="O63" i="56"/>
  <c r="F73" i="55"/>
  <c r="G1205" i="57"/>
  <c r="O96" i="56"/>
  <c r="F61" i="55"/>
  <c r="J57" i="55"/>
  <c r="E70" i="55"/>
  <c r="N51" i="56"/>
  <c r="I67" i="56"/>
  <c r="J24" i="55"/>
  <c r="N115" i="56"/>
  <c r="E65" i="55"/>
  <c r="O139" i="56"/>
  <c r="F46" i="55"/>
  <c r="H16" i="55"/>
  <c r="G37" i="56"/>
  <c r="J16" i="55"/>
  <c r="I37" i="56"/>
  <c r="H124" i="56"/>
  <c r="I40" i="55"/>
  <c r="O92" i="56"/>
  <c r="F60" i="55"/>
  <c r="E4445" i="57"/>
  <c r="G1210" i="57"/>
  <c r="O101" i="56"/>
  <c r="F82" i="55"/>
  <c r="G137" i="56"/>
  <c r="H90" i="55"/>
  <c r="I69" i="55"/>
  <c r="H47" i="56"/>
  <c r="I88" i="56"/>
  <c r="J59" i="55"/>
  <c r="I134" i="56"/>
  <c r="J44" i="55"/>
  <c r="H103" i="56"/>
  <c r="I34" i="55"/>
  <c r="G58" i="56"/>
  <c r="H54" i="55"/>
  <c r="J54" i="55"/>
  <c r="I58" i="56"/>
  <c r="E31" i="55"/>
  <c r="N91" i="56"/>
  <c r="G69" i="56"/>
  <c r="H25" i="55"/>
  <c r="H86" i="55"/>
  <c r="G116" i="56"/>
  <c r="I23" i="55"/>
  <c r="I109" i="56"/>
  <c r="J84" i="55"/>
  <c r="G141" i="56"/>
  <c r="H47" i="55"/>
  <c r="G57" i="56"/>
  <c r="H21" i="55"/>
  <c r="I57" i="56"/>
  <c r="J21" i="55"/>
  <c r="H55" i="56"/>
  <c r="I71" i="55"/>
  <c r="G112" i="56"/>
  <c r="H85" i="55"/>
  <c r="I112" i="56"/>
  <c r="J85" i="55"/>
  <c r="J48" i="55"/>
  <c r="I144" i="56"/>
  <c r="J56" i="55"/>
  <c r="I70" i="56"/>
  <c r="N100" i="56"/>
  <c r="E62" i="55"/>
  <c r="E4436" i="57"/>
  <c r="G1201" i="57"/>
  <c r="I60" i="55"/>
  <c r="H92" i="56"/>
  <c r="H101" i="56"/>
  <c r="I82" i="55"/>
  <c r="O137" i="56"/>
  <c r="F90" i="55"/>
  <c r="C696" i="57"/>
  <c r="D695" i="57"/>
  <c r="B726" i="57"/>
  <c r="F59" i="55"/>
  <c r="O88" i="56"/>
  <c r="G103" i="56"/>
  <c r="H34" i="55"/>
  <c r="I39" i="55"/>
  <c r="H31" i="55"/>
  <c r="I49" i="55"/>
  <c r="H38" i="56"/>
  <c r="H71" i="55"/>
  <c r="H36" i="55"/>
  <c r="G111" i="56"/>
  <c r="E16" i="55"/>
  <c r="N37" i="56"/>
  <c r="I124" i="56"/>
  <c r="J40" i="55"/>
  <c r="G92" i="56"/>
  <c r="H60" i="55"/>
  <c r="J60" i="55"/>
  <c r="I92" i="56"/>
  <c r="G101" i="56"/>
  <c r="H82" i="55"/>
  <c r="I101" i="56"/>
  <c r="J82" i="55"/>
  <c r="N137" i="56"/>
  <c r="E90" i="55"/>
  <c r="E4391" i="57"/>
  <c r="G1156" i="57"/>
  <c r="O47" i="56"/>
  <c r="F69" i="55"/>
  <c r="E4432" i="57"/>
  <c r="G1197" i="57"/>
  <c r="N88" i="56"/>
  <c r="E59" i="55"/>
  <c r="G88" i="56"/>
  <c r="H59" i="55"/>
  <c r="G134" i="56"/>
  <c r="H44" i="55"/>
  <c r="H121" i="56"/>
  <c r="I66" i="55"/>
  <c r="J34" i="55"/>
  <c r="I103" i="56"/>
  <c r="N58" i="56"/>
  <c r="E54" i="55"/>
  <c r="H91" i="56"/>
  <c r="I31" i="55"/>
  <c r="H69" i="56"/>
  <c r="I25" i="55"/>
  <c r="I38" i="56"/>
  <c r="J49" i="55"/>
  <c r="O65" i="56"/>
  <c r="F23" i="55"/>
  <c r="N57" i="56"/>
  <c r="E21" i="55"/>
  <c r="I55" i="56"/>
  <c r="J71" i="55"/>
  <c r="E85" i="55"/>
  <c r="N112" i="56"/>
  <c r="O100" i="56"/>
  <c r="F62" i="55"/>
  <c r="H100" i="56"/>
  <c r="I62" i="55"/>
  <c r="I42" i="56"/>
  <c r="J50" i="55"/>
  <c r="G114" i="56"/>
  <c r="H37" i="55"/>
  <c r="H122" i="56"/>
  <c r="I87" i="55"/>
  <c r="I64" i="55"/>
  <c r="H108" i="56"/>
  <c r="E4431" i="57"/>
  <c r="G1196" i="57"/>
  <c r="O87" i="56"/>
  <c r="F30" i="55"/>
  <c r="H63" i="56"/>
  <c r="H96" i="56"/>
  <c r="I61" i="55"/>
  <c r="H74" i="56"/>
  <c r="I57" i="55"/>
  <c r="G51" i="56"/>
  <c r="H70" i="55"/>
  <c r="I51" i="56"/>
  <c r="J70" i="55"/>
  <c r="F24" i="55"/>
  <c r="O67" i="56"/>
  <c r="I65" i="55"/>
  <c r="H115" i="56"/>
  <c r="H139" i="56"/>
  <c r="I46" i="55"/>
  <c r="F16" i="55"/>
  <c r="O37" i="56"/>
  <c r="G124" i="56"/>
  <c r="H40" i="55"/>
  <c r="N47" i="56"/>
  <c r="E69" i="55"/>
  <c r="H134" i="56"/>
  <c r="I44" i="55"/>
  <c r="E4447" i="57"/>
  <c r="G1212" i="57"/>
  <c r="G65" i="56"/>
  <c r="H23" i="55"/>
  <c r="H141" i="56"/>
  <c r="I47" i="55"/>
  <c r="B1453" i="57"/>
  <c r="E4120" i="57"/>
  <c r="H42" i="56"/>
  <c r="I50" i="55"/>
  <c r="I37" i="55"/>
  <c r="H114" i="56"/>
  <c r="G142" i="56"/>
  <c r="G108" i="56"/>
  <c r="H64" i="55"/>
  <c r="J64" i="55"/>
  <c r="N87" i="56"/>
  <c r="E30" i="55"/>
  <c r="J73" i="55"/>
  <c r="I63" i="56"/>
  <c r="G131" i="56"/>
  <c r="H43" i="55"/>
  <c r="G96" i="56"/>
  <c r="H61" i="55"/>
  <c r="I96" i="56"/>
  <c r="J61" i="55"/>
  <c r="H51" i="56"/>
  <c r="I70" i="55"/>
  <c r="H24" i="55"/>
  <c r="G67" i="56"/>
  <c r="O115" i="56"/>
  <c r="F65" i="55"/>
  <c r="F45" i="56"/>
  <c r="O42" i="56"/>
  <c r="F50" i="55"/>
  <c r="O114" i="56"/>
  <c r="F37" i="55"/>
  <c r="H142" i="56"/>
  <c r="I91" i="55"/>
  <c r="G122" i="56"/>
  <c r="H87" i="55"/>
  <c r="N108" i="56"/>
  <c r="E64" i="55"/>
  <c r="H87" i="56"/>
  <c r="I30" i="55"/>
  <c r="G63" i="56"/>
  <c r="H73" i="55"/>
  <c r="H131" i="56"/>
  <c r="I43" i="55"/>
  <c r="E61" i="55"/>
  <c r="N96" i="56"/>
  <c r="G74" i="56"/>
  <c r="H57" i="55"/>
  <c r="O51" i="56"/>
  <c r="F70" i="55"/>
  <c r="H67" i="56"/>
  <c r="I24" i="55"/>
  <c r="G115" i="56"/>
  <c r="H65" i="55"/>
  <c r="N139" i="56"/>
  <c r="E46" i="55"/>
  <c r="H37" i="56"/>
  <c r="I16" i="55"/>
  <c r="N92" i="56"/>
  <c r="E60" i="55"/>
  <c r="N101" i="56"/>
  <c r="E82" i="55"/>
  <c r="H137" i="56"/>
  <c r="I90" i="55"/>
  <c r="G47" i="56"/>
  <c r="H69" i="55"/>
  <c r="I47" i="56"/>
  <c r="J69" i="55"/>
  <c r="I59" i="55"/>
  <c r="H88" i="56"/>
  <c r="H66" i="55"/>
  <c r="G121" i="56"/>
  <c r="E4402" i="57"/>
  <c r="F58" i="56" s="1"/>
  <c r="G1167" i="57"/>
  <c r="H58" i="56"/>
  <c r="I54" i="55"/>
  <c r="G120" i="56"/>
  <c r="H39" i="55"/>
  <c r="E4435" i="57"/>
  <c r="F91" i="56" s="1"/>
  <c r="G1200" i="57"/>
  <c r="O91" i="56"/>
  <c r="F31" i="55"/>
  <c r="I69" i="56"/>
  <c r="J25" i="55"/>
  <c r="I65" i="56"/>
  <c r="J23" i="55"/>
  <c r="H57" i="56"/>
  <c r="I21" i="55"/>
  <c r="F71" i="55"/>
  <c r="O55" i="56"/>
  <c r="G54" i="56"/>
  <c r="H53" i="55"/>
  <c r="I20" i="55"/>
  <c r="H53" i="56"/>
  <c r="N89" i="56"/>
  <c r="E79" i="55"/>
  <c r="H112" i="56"/>
  <c r="I85" i="55"/>
  <c r="G144" i="56"/>
  <c r="H48" i="55"/>
  <c r="G70" i="56"/>
  <c r="H56" i="55"/>
  <c r="I100" i="56"/>
  <c r="J62" i="55"/>
  <c r="C97" i="38"/>
  <c r="C97" i="37"/>
  <c r="C97" i="36"/>
  <c r="C97" i="35"/>
  <c r="C66" i="38"/>
  <c r="D66" i="38" s="1"/>
  <c r="C66" i="37"/>
  <c r="D66" i="37" s="1"/>
  <c r="C66" i="36"/>
  <c r="D66" i="36"/>
  <c r="C66" i="35"/>
  <c r="H148" i="38"/>
  <c r="F148" i="38"/>
  <c r="E148" i="38"/>
  <c r="D148" i="38"/>
  <c r="C148" i="38"/>
  <c r="B148" i="38"/>
  <c r="H148" i="37"/>
  <c r="F148" i="37"/>
  <c r="E148" i="37"/>
  <c r="D148" i="37"/>
  <c r="C148" i="37"/>
  <c r="B148" i="37"/>
  <c r="H148" i="36"/>
  <c r="F148" i="36"/>
  <c r="E148" i="36"/>
  <c r="D148" i="36"/>
  <c r="C148" i="36"/>
  <c r="B148" i="36"/>
  <c r="H148" i="35"/>
  <c r="F148" i="35"/>
  <c r="E148" i="35"/>
  <c r="D148" i="35"/>
  <c r="C148" i="35"/>
  <c r="B148" i="35"/>
  <c r="G22" i="32"/>
  <c r="F103" i="56"/>
  <c r="G34" i="55"/>
  <c r="G82" i="55"/>
  <c r="F101" i="56"/>
  <c r="F100" i="56"/>
  <c r="G62" i="55"/>
  <c r="F97" i="56"/>
  <c r="G81" i="55"/>
  <c r="H2350" i="57"/>
  <c r="F2350" i="57"/>
  <c r="J2350" i="57"/>
  <c r="F87" i="56"/>
  <c r="G30" i="55"/>
  <c r="F88" i="56"/>
  <c r="G59" i="55"/>
  <c r="F47" i="56"/>
  <c r="G69" i="55"/>
  <c r="B3267" i="57"/>
  <c r="J2500" i="57"/>
  <c r="J2517" i="57" s="1"/>
  <c r="B2500" i="57"/>
  <c r="B2517" i="57" s="1"/>
  <c r="J2333" i="57"/>
  <c r="B2333" i="57"/>
  <c r="E2500" i="57"/>
  <c r="E2517" i="57" s="1"/>
  <c r="E2333" i="57"/>
  <c r="H2500" i="57"/>
  <c r="H2517" i="57" s="1"/>
  <c r="H2333" i="57"/>
  <c r="F57" i="56"/>
  <c r="G21" i="55"/>
  <c r="G31" i="55"/>
  <c r="D696" i="57"/>
  <c r="C697" i="57"/>
  <c r="C698" i="57" s="1"/>
  <c r="F92" i="56"/>
  <c r="G60" i="55"/>
  <c r="D97" i="38"/>
  <c r="E97" i="38"/>
  <c r="D97" i="37"/>
  <c r="D97" i="36"/>
  <c r="E97" i="36" s="1"/>
  <c r="D97" i="35"/>
  <c r="E97" i="35" s="1"/>
  <c r="F97" i="35" s="1"/>
  <c r="E66" i="37"/>
  <c r="E66" i="36"/>
  <c r="F66" i="36" s="1"/>
  <c r="G66" i="36" s="1"/>
  <c r="H66" i="36" s="1"/>
  <c r="I66" i="36" s="1"/>
  <c r="B148" i="34"/>
  <c r="B104" i="34"/>
  <c r="B103" i="34"/>
  <c r="B102" i="34"/>
  <c r="B87" i="34"/>
  <c r="B86" i="34"/>
  <c r="B85" i="34"/>
  <c r="B84" i="34"/>
  <c r="B83" i="34"/>
  <c r="H39" i="31"/>
  <c r="B100" i="35" s="1"/>
  <c r="I39" i="31"/>
  <c r="C100" i="35" s="1"/>
  <c r="J39" i="31"/>
  <c r="O39" i="31" s="1"/>
  <c r="T39" i="31" s="1"/>
  <c r="Y39" i="31" s="1"/>
  <c r="D100" i="38" s="1"/>
  <c r="K39" i="31"/>
  <c r="P39" i="31" s="1"/>
  <c r="U39" i="31" s="1"/>
  <c r="Z39" i="31"/>
  <c r="L39" i="31"/>
  <c r="Q39" i="31" s="1"/>
  <c r="V39" i="31" s="1"/>
  <c r="M39" i="31"/>
  <c r="B100" i="36" s="1"/>
  <c r="N39" i="31"/>
  <c r="C100" i="36" s="1"/>
  <c r="S39" i="31"/>
  <c r="X39" i="31" s="1"/>
  <c r="C100" i="38" s="1"/>
  <c r="AA39" i="31"/>
  <c r="H40" i="31"/>
  <c r="B101" i="35" s="1"/>
  <c r="I40" i="31"/>
  <c r="N40" i="31"/>
  <c r="C101" i="36" s="1"/>
  <c r="J40" i="31"/>
  <c r="O40" i="31" s="1"/>
  <c r="K40" i="31"/>
  <c r="P40" i="31"/>
  <c r="U40" i="31" s="1"/>
  <c r="Z40" i="31" s="1"/>
  <c r="L40" i="31"/>
  <c r="Q40" i="31" s="1"/>
  <c r="M40" i="31"/>
  <c r="V40" i="31"/>
  <c r="AA40" i="31" s="1"/>
  <c r="H41" i="31"/>
  <c r="B102" i="35" s="1"/>
  <c r="I41" i="31"/>
  <c r="C102" i="35" s="1"/>
  <c r="N41" i="31"/>
  <c r="J41" i="31"/>
  <c r="O41" i="31" s="1"/>
  <c r="T41" i="31" s="1"/>
  <c r="K41" i="31"/>
  <c r="P41" i="31" s="1"/>
  <c r="U41" i="31" s="1"/>
  <c r="Z41" i="31" s="1"/>
  <c r="L41" i="31"/>
  <c r="Q41" i="31" s="1"/>
  <c r="V41" i="31" s="1"/>
  <c r="AA41" i="31" s="1"/>
  <c r="M41" i="31"/>
  <c r="H42" i="31"/>
  <c r="B103" i="35" s="1"/>
  <c r="I42" i="31"/>
  <c r="C103" i="35" s="1"/>
  <c r="J42" i="31"/>
  <c r="K42" i="31"/>
  <c r="P42" i="31" s="1"/>
  <c r="U42" i="31" s="1"/>
  <c r="Z42" i="31" s="1"/>
  <c r="L42" i="31"/>
  <c r="Q42" i="31" s="1"/>
  <c r="V42" i="31" s="1"/>
  <c r="AA42" i="31" s="1"/>
  <c r="O42" i="31"/>
  <c r="T42" i="31" s="1"/>
  <c r="Y42" i="31" s="1"/>
  <c r="D103" i="38" s="1"/>
  <c r="H43" i="31"/>
  <c r="B104" i="35" s="1"/>
  <c r="I43" i="31"/>
  <c r="C104" i="35" s="1"/>
  <c r="J43" i="31"/>
  <c r="K43" i="31"/>
  <c r="P43" i="31" s="1"/>
  <c r="U43" i="31" s="1"/>
  <c r="Z43" i="31" s="1"/>
  <c r="L43" i="31"/>
  <c r="Q43" i="31" s="1"/>
  <c r="O43" i="31"/>
  <c r="V43" i="31"/>
  <c r="AA43" i="31" s="1"/>
  <c r="K8" i="31"/>
  <c r="B69" i="35" s="1"/>
  <c r="L8" i="31"/>
  <c r="C69" i="35" s="1"/>
  <c r="M8" i="31"/>
  <c r="N8" i="31"/>
  <c r="O8" i="31"/>
  <c r="P8" i="31"/>
  <c r="Q8" i="31"/>
  <c r="R8" i="31"/>
  <c r="S8" i="31"/>
  <c r="B69" i="36" s="1"/>
  <c r="T8" i="31"/>
  <c r="C69" i="36" s="1"/>
  <c r="U8" i="31"/>
  <c r="D69" i="36" s="1"/>
  <c r="V8" i="31"/>
  <c r="E69" i="36" s="1"/>
  <c r="W8" i="31"/>
  <c r="X8" i="31"/>
  <c r="Y8" i="31"/>
  <c r="Z8" i="31"/>
  <c r="AA8" i="31"/>
  <c r="B69" i="37" s="1"/>
  <c r="AB8" i="31"/>
  <c r="C69" i="37" s="1"/>
  <c r="AC8" i="31"/>
  <c r="D69" i="37" s="1"/>
  <c r="AD8" i="31"/>
  <c r="AE8" i="31"/>
  <c r="AF8" i="31"/>
  <c r="AG8" i="31"/>
  <c r="AH8" i="31"/>
  <c r="AI8" i="31"/>
  <c r="B69" i="38" s="1"/>
  <c r="AJ8" i="31"/>
  <c r="C69" i="38" s="1"/>
  <c r="AK8" i="31"/>
  <c r="AL8" i="31"/>
  <c r="AM8" i="31"/>
  <c r="AN8" i="31"/>
  <c r="AO8" i="31"/>
  <c r="AP8" i="31"/>
  <c r="K9" i="31"/>
  <c r="B70" i="35" s="1"/>
  <c r="L9" i="31"/>
  <c r="C70" i="35" s="1"/>
  <c r="M9" i="31"/>
  <c r="U9" i="31" s="1"/>
  <c r="N9" i="31"/>
  <c r="O9" i="31"/>
  <c r="W9" i="31" s="1"/>
  <c r="AE9" i="31" s="1"/>
  <c r="AM9" i="31" s="1"/>
  <c r="P9" i="31"/>
  <c r="X9" i="31" s="1"/>
  <c r="Q9" i="31"/>
  <c r="Y9" i="31" s="1"/>
  <c r="AG9" i="31" s="1"/>
  <c r="R9" i="31"/>
  <c r="Z9" i="31" s="1"/>
  <c r="AH9" i="31" s="1"/>
  <c r="AP9" i="31" s="1"/>
  <c r="S9" i="31"/>
  <c r="B70" i="36" s="1"/>
  <c r="T9" i="31"/>
  <c r="C70" i="36" s="1"/>
  <c r="V9" i="31"/>
  <c r="AB9" i="31"/>
  <c r="C70" i="37" s="1"/>
  <c r="AO9" i="31"/>
  <c r="K10" i="31"/>
  <c r="B71" i="35" s="1"/>
  <c r="L10" i="31"/>
  <c r="C71" i="35" s="1"/>
  <c r="M10" i="31"/>
  <c r="N10" i="31"/>
  <c r="O10" i="31"/>
  <c r="P10" i="31"/>
  <c r="Q10" i="31"/>
  <c r="R10" i="31"/>
  <c r="S10" i="31"/>
  <c r="B71" i="36" s="1"/>
  <c r="T10" i="31"/>
  <c r="C71" i="36" s="1"/>
  <c r="U10" i="31"/>
  <c r="D71" i="36" s="1"/>
  <c r="V10" i="31"/>
  <c r="W10" i="31"/>
  <c r="X10" i="31"/>
  <c r="Y10" i="31"/>
  <c r="Z10" i="31"/>
  <c r="AA10" i="31"/>
  <c r="B71" i="37" s="1"/>
  <c r="AB10" i="31"/>
  <c r="C71" i="37" s="1"/>
  <c r="AC10" i="31"/>
  <c r="D71" i="37" s="1"/>
  <c r="AD10" i="31"/>
  <c r="AE10" i="31"/>
  <c r="AF10" i="31"/>
  <c r="AG10" i="31"/>
  <c r="AH10" i="31"/>
  <c r="AI10" i="31"/>
  <c r="B71" i="38" s="1"/>
  <c r="AJ10" i="31"/>
  <c r="C71" i="38" s="1"/>
  <c r="AK10" i="31"/>
  <c r="AL10" i="31"/>
  <c r="AM10" i="31"/>
  <c r="AN10" i="31"/>
  <c r="AO10" i="31"/>
  <c r="AP10" i="31"/>
  <c r="K11" i="31"/>
  <c r="B72" i="35" s="1"/>
  <c r="L11" i="31"/>
  <c r="C72" i="35" s="1"/>
  <c r="M11" i="31"/>
  <c r="N11" i="31"/>
  <c r="O11" i="31"/>
  <c r="P11" i="31"/>
  <c r="Q11" i="31"/>
  <c r="R11" i="31"/>
  <c r="S11" i="31"/>
  <c r="B72" i="36" s="1"/>
  <c r="T11" i="31"/>
  <c r="C72" i="36" s="1"/>
  <c r="U11" i="31"/>
  <c r="D72" i="36" s="1"/>
  <c r="V11" i="31"/>
  <c r="W11" i="31"/>
  <c r="F72" i="36" s="1"/>
  <c r="X11" i="31"/>
  <c r="Y11" i="31"/>
  <c r="Z11" i="31"/>
  <c r="AA11" i="31"/>
  <c r="B72" i="37" s="1"/>
  <c r="AB11" i="31"/>
  <c r="C72" i="37" s="1"/>
  <c r="AC11" i="31"/>
  <c r="D72" i="37" s="1"/>
  <c r="AD11" i="31"/>
  <c r="AE11" i="31"/>
  <c r="AF11" i="31"/>
  <c r="AG11" i="31"/>
  <c r="AH11" i="31"/>
  <c r="AI11" i="31"/>
  <c r="B72" i="38" s="1"/>
  <c r="AJ11" i="31"/>
  <c r="C72" i="38" s="1"/>
  <c r="AK11" i="31"/>
  <c r="AL11" i="31"/>
  <c r="AM11" i="31"/>
  <c r="AN11" i="31"/>
  <c r="AO11" i="31"/>
  <c r="AP11" i="31"/>
  <c r="K12" i="31"/>
  <c r="B73" i="35" s="1"/>
  <c r="L12" i="31"/>
  <c r="C73" i="35" s="1"/>
  <c r="M12" i="31"/>
  <c r="U12" i="31" s="1"/>
  <c r="AC12" i="31" s="1"/>
  <c r="D73" i="37" s="1"/>
  <c r="N12" i="31"/>
  <c r="V12" i="31" s="1"/>
  <c r="O12" i="31"/>
  <c r="W12" i="31" s="1"/>
  <c r="P12" i="31"/>
  <c r="X12" i="31" s="1"/>
  <c r="Q12" i="31"/>
  <c r="Y12" i="31" s="1"/>
  <c r="AG12" i="31" s="1"/>
  <c r="R12" i="31"/>
  <c r="Z12" i="31" s="1"/>
  <c r="AH12" i="31" s="1"/>
  <c r="AP12" i="31" s="1"/>
  <c r="S12" i="31"/>
  <c r="T12" i="31"/>
  <c r="C73" i="36" s="1"/>
  <c r="AO12" i="31"/>
  <c r="K13" i="31"/>
  <c r="B74" i="35" s="1"/>
  <c r="L13" i="31"/>
  <c r="C74" i="35" s="1"/>
  <c r="M13" i="31"/>
  <c r="N13" i="31"/>
  <c r="O13" i="31"/>
  <c r="P13" i="31"/>
  <c r="Q13" i="31"/>
  <c r="R13" i="31"/>
  <c r="S13" i="31"/>
  <c r="B74" i="36" s="1"/>
  <c r="T13" i="31"/>
  <c r="C74" i="36" s="1"/>
  <c r="U13" i="31"/>
  <c r="D74" i="36" s="1"/>
  <c r="V13" i="31"/>
  <c r="E74" i="36" s="1"/>
  <c r="W13" i="31"/>
  <c r="X13" i="31"/>
  <c r="Y13" i="31"/>
  <c r="Z13" i="31"/>
  <c r="AA13" i="31"/>
  <c r="B74" i="37" s="1"/>
  <c r="AB13" i="31"/>
  <c r="C74" i="37" s="1"/>
  <c r="AC13" i="31"/>
  <c r="AD13" i="31"/>
  <c r="AL13" i="31" s="1"/>
  <c r="AE13" i="31"/>
  <c r="AM13" i="31" s="1"/>
  <c r="AF13" i="31"/>
  <c r="AN13" i="31" s="1"/>
  <c r="AG13" i="31"/>
  <c r="AO13" i="31" s="1"/>
  <c r="AH13" i="31"/>
  <c r="AP13" i="31" s="1"/>
  <c r="K14" i="31"/>
  <c r="B75" i="35" s="1"/>
  <c r="L14" i="31"/>
  <c r="C75" i="35" s="1"/>
  <c r="M14" i="31"/>
  <c r="N14" i="31"/>
  <c r="O14" i="31"/>
  <c r="P14" i="31"/>
  <c r="Q14" i="31"/>
  <c r="R14" i="31"/>
  <c r="S14" i="31"/>
  <c r="B75" i="36" s="1"/>
  <c r="T14" i="31"/>
  <c r="C75" i="36" s="1"/>
  <c r="U14" i="31"/>
  <c r="V14" i="31"/>
  <c r="W14" i="31"/>
  <c r="AE14" i="31" s="1"/>
  <c r="AM14" i="31" s="1"/>
  <c r="X14" i="31"/>
  <c r="AF14" i="31" s="1"/>
  <c r="AN14" i="31" s="1"/>
  <c r="Y14" i="31"/>
  <c r="AG14" i="31" s="1"/>
  <c r="AO14" i="31" s="1"/>
  <c r="Z14" i="31"/>
  <c r="AH14" i="31" s="1"/>
  <c r="AP14" i="31" s="1"/>
  <c r="AA14" i="31"/>
  <c r="AB14" i="31"/>
  <c r="AJ14" i="31" s="1"/>
  <c r="C75" i="38" s="1"/>
  <c r="K15" i="31"/>
  <c r="B76" i="35" s="1"/>
  <c r="L15" i="31"/>
  <c r="C76" i="35" s="1"/>
  <c r="M15" i="31"/>
  <c r="N15" i="31"/>
  <c r="O15" i="31"/>
  <c r="P15" i="31"/>
  <c r="Q15" i="31"/>
  <c r="R15" i="31"/>
  <c r="S15" i="31"/>
  <c r="B76" i="36" s="1"/>
  <c r="T15" i="31"/>
  <c r="C76" i="36" s="1"/>
  <c r="U15" i="31"/>
  <c r="D76" i="36" s="1"/>
  <c r="V15" i="31"/>
  <c r="W15" i="31"/>
  <c r="X15" i="31"/>
  <c r="Y15" i="31"/>
  <c r="H76" i="36" s="1"/>
  <c r="Z15" i="31"/>
  <c r="AA15" i="31"/>
  <c r="B76" i="37" s="1"/>
  <c r="AB15" i="31"/>
  <c r="C76" i="37" s="1"/>
  <c r="AC15" i="31"/>
  <c r="D76" i="37" s="1"/>
  <c r="AD15" i="31"/>
  <c r="AE15" i="31"/>
  <c r="AF15" i="31"/>
  <c r="AG15" i="31"/>
  <c r="AH15" i="31"/>
  <c r="AI15" i="31"/>
  <c r="B76" i="38" s="1"/>
  <c r="AJ15" i="31"/>
  <c r="C76" i="38" s="1"/>
  <c r="AK15" i="31"/>
  <c r="AL15" i="31"/>
  <c r="AM15" i="31"/>
  <c r="AN15" i="31"/>
  <c r="AO15" i="31"/>
  <c r="AP15" i="31"/>
  <c r="K16" i="31"/>
  <c r="B77" i="35" s="1"/>
  <c r="L16" i="31"/>
  <c r="C77" i="35" s="1"/>
  <c r="M16" i="31"/>
  <c r="U16" i="31" s="1"/>
  <c r="N16" i="31"/>
  <c r="O16" i="31"/>
  <c r="W16" i="31" s="1"/>
  <c r="AE16" i="31" s="1"/>
  <c r="AM16" i="31" s="1"/>
  <c r="P16" i="31"/>
  <c r="X16" i="31" s="1"/>
  <c r="Q16" i="31"/>
  <c r="Y16" i="31" s="1"/>
  <c r="AG16" i="31" s="1"/>
  <c r="AO16" i="31" s="1"/>
  <c r="R16" i="31"/>
  <c r="Z16" i="31" s="1"/>
  <c r="AH16" i="31" s="1"/>
  <c r="AP16" i="31" s="1"/>
  <c r="S16" i="31"/>
  <c r="B77" i="36" s="1"/>
  <c r="T16" i="31"/>
  <c r="C77" i="36" s="1"/>
  <c r="V16" i="31"/>
  <c r="K17" i="31"/>
  <c r="B78" i="35" s="1"/>
  <c r="L17" i="31"/>
  <c r="C78" i="35" s="1"/>
  <c r="M17" i="31"/>
  <c r="U17" i="31" s="1"/>
  <c r="N17" i="31"/>
  <c r="V17" i="31" s="1"/>
  <c r="AD17" i="31" s="1"/>
  <c r="AL17" i="31"/>
  <c r="O17" i="31"/>
  <c r="W17" i="31" s="1"/>
  <c r="AE17" i="31" s="1"/>
  <c r="AM17" i="31" s="1"/>
  <c r="P17" i="31"/>
  <c r="Q17" i="31"/>
  <c r="Y17" i="31" s="1"/>
  <c r="R17" i="31"/>
  <c r="Z17" i="31" s="1"/>
  <c r="AH17" i="31" s="1"/>
  <c r="AP17" i="31" s="1"/>
  <c r="X17" i="31"/>
  <c r="G78" i="36" s="1"/>
  <c r="K18" i="31"/>
  <c r="B79" i="35" s="1"/>
  <c r="L18" i="31"/>
  <c r="C79" i="35" s="1"/>
  <c r="M18" i="31"/>
  <c r="N18" i="31"/>
  <c r="O18" i="31"/>
  <c r="P18" i="31"/>
  <c r="Q18" i="31"/>
  <c r="R18" i="31"/>
  <c r="S18" i="31"/>
  <c r="B79" i="36" s="1"/>
  <c r="T18" i="31"/>
  <c r="C79" i="36" s="1"/>
  <c r="U18" i="31"/>
  <c r="D79" i="36" s="1"/>
  <c r="V18" i="31"/>
  <c r="E79" i="36" s="1"/>
  <c r="W18" i="31"/>
  <c r="X18" i="31"/>
  <c r="Y18" i="31"/>
  <c r="H79" i="36" s="1"/>
  <c r="Z18" i="31"/>
  <c r="AA18" i="31"/>
  <c r="B79" i="37" s="1"/>
  <c r="AB18" i="31"/>
  <c r="C79" i="37" s="1"/>
  <c r="AC18" i="31"/>
  <c r="D79" i="37" s="1"/>
  <c r="AD18" i="31"/>
  <c r="AE18" i="31"/>
  <c r="AF18" i="31"/>
  <c r="AG18" i="31"/>
  <c r="AH18" i="31"/>
  <c r="AI18" i="31"/>
  <c r="B79" i="38" s="1"/>
  <c r="AJ18" i="31"/>
  <c r="C79" i="38" s="1"/>
  <c r="AK18" i="31"/>
  <c r="AL18" i="31"/>
  <c r="AM18" i="31"/>
  <c r="AN18" i="31"/>
  <c r="AO18" i="31"/>
  <c r="AP18" i="31"/>
  <c r="K19" i="31"/>
  <c r="B80" i="35" s="1"/>
  <c r="L19" i="31"/>
  <c r="C80" i="35" s="1"/>
  <c r="M19" i="31"/>
  <c r="N19" i="31"/>
  <c r="O19" i="31"/>
  <c r="P19" i="31"/>
  <c r="Q19" i="31"/>
  <c r="Y19" i="31" s="1"/>
  <c r="R19" i="31"/>
  <c r="Z19" i="31" s="1"/>
  <c r="AH19" i="31" s="1"/>
  <c r="AP19" i="31" s="1"/>
  <c r="S19" i="31"/>
  <c r="B80" i="36" s="1"/>
  <c r="T19" i="31"/>
  <c r="C80" i="36" s="1"/>
  <c r="U19" i="31"/>
  <c r="AC19" i="31" s="1"/>
  <c r="D80" i="37" s="1"/>
  <c r="V19" i="31"/>
  <c r="W19" i="31"/>
  <c r="AE19" i="31" s="1"/>
  <c r="AM19" i="31" s="1"/>
  <c r="X19" i="31"/>
  <c r="AF19" i="31" s="1"/>
  <c r="AN19" i="31" s="1"/>
  <c r="K20" i="31"/>
  <c r="B81" i="35" s="1"/>
  <c r="L20" i="31"/>
  <c r="C81" i="35" s="1"/>
  <c r="M20" i="31"/>
  <c r="N20" i="31"/>
  <c r="O20" i="31"/>
  <c r="P20" i="31"/>
  <c r="Q20" i="31"/>
  <c r="R20" i="31"/>
  <c r="S20" i="31"/>
  <c r="B81" i="36" s="1"/>
  <c r="T20" i="31"/>
  <c r="C81" i="36" s="1"/>
  <c r="U20" i="31"/>
  <c r="V20" i="31"/>
  <c r="W20" i="31"/>
  <c r="AE20" i="31" s="1"/>
  <c r="AM20" i="31" s="1"/>
  <c r="X20" i="31"/>
  <c r="AF20" i="31" s="1"/>
  <c r="AN20" i="31" s="1"/>
  <c r="Y20" i="31"/>
  <c r="AG20" i="31" s="1"/>
  <c r="AO20" i="31" s="1"/>
  <c r="Z20" i="31"/>
  <c r="AH20" i="31" s="1"/>
  <c r="AP20" i="31" s="1"/>
  <c r="AA20" i="31"/>
  <c r="AB20" i="31"/>
  <c r="K21" i="31"/>
  <c r="B82" i="35" s="1"/>
  <c r="L21" i="31"/>
  <c r="C82" i="35" s="1"/>
  <c r="M21" i="31"/>
  <c r="N21" i="31"/>
  <c r="O21" i="31"/>
  <c r="P21" i="31"/>
  <c r="Q21" i="31"/>
  <c r="R21" i="31"/>
  <c r="S21" i="31"/>
  <c r="B82" i="36" s="1"/>
  <c r="T21" i="31"/>
  <c r="C82" i="36" s="1"/>
  <c r="U21" i="31"/>
  <c r="V21" i="31"/>
  <c r="AD21" i="31" s="1"/>
  <c r="AL21" i="31" s="1"/>
  <c r="W21" i="31"/>
  <c r="AE21" i="31" s="1"/>
  <c r="AM21" i="31" s="1"/>
  <c r="X21" i="31"/>
  <c r="G82" i="36" s="1"/>
  <c r="Y21" i="31"/>
  <c r="AG21" i="31" s="1"/>
  <c r="AO21" i="31" s="1"/>
  <c r="Z21" i="31"/>
  <c r="AH21" i="31" s="1"/>
  <c r="AP21" i="31" s="1"/>
  <c r="AA21" i="31"/>
  <c r="AB21" i="31"/>
  <c r="C82" i="37" s="1"/>
  <c r="K22" i="31"/>
  <c r="B83" i="35" s="1"/>
  <c r="L22" i="31"/>
  <c r="C83" i="35" s="1"/>
  <c r="M22" i="31"/>
  <c r="N22" i="31"/>
  <c r="O22" i="31"/>
  <c r="P22" i="31"/>
  <c r="Q22" i="31"/>
  <c r="Y22" i="31" s="1"/>
  <c r="R22" i="31"/>
  <c r="Z22" i="31" s="1"/>
  <c r="AH22" i="31" s="1"/>
  <c r="AP22" i="31" s="1"/>
  <c r="S22" i="31"/>
  <c r="B83" i="36" s="1"/>
  <c r="T22" i="31"/>
  <c r="C83" i="36" s="1"/>
  <c r="U22" i="31"/>
  <c r="V22" i="31"/>
  <c r="AD22" i="31" s="1"/>
  <c r="AL22" i="31" s="1"/>
  <c r="W22" i="31"/>
  <c r="X22" i="31"/>
  <c r="G83" i="36" s="1"/>
  <c r="AG22" i="31"/>
  <c r="AO22" i="31" s="1"/>
  <c r="K23" i="31"/>
  <c r="B84" i="35" s="1"/>
  <c r="L23" i="31"/>
  <c r="C84" i="35" s="1"/>
  <c r="M23" i="31"/>
  <c r="N23" i="31"/>
  <c r="O23" i="31"/>
  <c r="P23" i="31"/>
  <c r="Q23" i="31"/>
  <c r="R23" i="31"/>
  <c r="S23" i="31"/>
  <c r="B84" i="36" s="1"/>
  <c r="T23" i="31"/>
  <c r="C84" i="36" s="1"/>
  <c r="U23" i="31"/>
  <c r="D84" i="36" s="1"/>
  <c r="V23" i="31"/>
  <c r="E84" i="36" s="1"/>
  <c r="W23" i="31"/>
  <c r="X23" i="31"/>
  <c r="Y23" i="31"/>
  <c r="Z23" i="31"/>
  <c r="AA23" i="31"/>
  <c r="B84" i="37" s="1"/>
  <c r="AB23" i="31"/>
  <c r="C84" i="37" s="1"/>
  <c r="AC23" i="31"/>
  <c r="D84" i="37" s="1"/>
  <c r="AD23" i="31"/>
  <c r="AE23" i="31"/>
  <c r="AF23" i="31"/>
  <c r="AG23" i="31"/>
  <c r="AH23" i="31"/>
  <c r="AI23" i="31"/>
  <c r="B84" i="38" s="1"/>
  <c r="AJ23" i="31"/>
  <c r="C84" i="38" s="1"/>
  <c r="AK23" i="31"/>
  <c r="AL23" i="31"/>
  <c r="AM23" i="31"/>
  <c r="AN23" i="31"/>
  <c r="AO23" i="31"/>
  <c r="AP23" i="31"/>
  <c r="K24" i="31"/>
  <c r="B85" i="35" s="1"/>
  <c r="L24" i="31"/>
  <c r="C85" i="35" s="1"/>
  <c r="M24" i="31"/>
  <c r="N24" i="31"/>
  <c r="O24" i="31"/>
  <c r="P24" i="31"/>
  <c r="Q24" i="31"/>
  <c r="R24" i="31"/>
  <c r="S24" i="31"/>
  <c r="B85" i="36" s="1"/>
  <c r="T24" i="31"/>
  <c r="C85" i="36" s="1"/>
  <c r="U24" i="31"/>
  <c r="D85" i="36" s="1"/>
  <c r="V24" i="31"/>
  <c r="E85" i="36" s="1"/>
  <c r="W24" i="31"/>
  <c r="X24" i="31"/>
  <c r="G85" i="36" s="1"/>
  <c r="Y24" i="31"/>
  <c r="H85" i="36" s="1"/>
  <c r="Z24" i="31"/>
  <c r="AA24" i="31"/>
  <c r="B85" i="37" s="1"/>
  <c r="AB24" i="31"/>
  <c r="C85" i="37" s="1"/>
  <c r="AC24" i="31"/>
  <c r="D85" i="37" s="1"/>
  <c r="AD24" i="31"/>
  <c r="AE24" i="31"/>
  <c r="AF24" i="31"/>
  <c r="AG24" i="31"/>
  <c r="AH24" i="31"/>
  <c r="AI24" i="31"/>
  <c r="B85" i="38" s="1"/>
  <c r="AJ24" i="31"/>
  <c r="C85" i="38" s="1"/>
  <c r="AK24" i="31"/>
  <c r="AL24" i="31"/>
  <c r="AM24" i="31"/>
  <c r="AN24" i="31"/>
  <c r="AO24" i="31"/>
  <c r="AP24" i="31"/>
  <c r="K25" i="31"/>
  <c r="B86" i="35" s="1"/>
  <c r="L25" i="31"/>
  <c r="C86" i="35" s="1"/>
  <c r="M25" i="31"/>
  <c r="N25" i="31"/>
  <c r="O25" i="31"/>
  <c r="P25" i="31"/>
  <c r="Q25" i="31"/>
  <c r="R25" i="31"/>
  <c r="S25" i="31"/>
  <c r="B86" i="36" s="1"/>
  <c r="T25" i="31"/>
  <c r="C86" i="36" s="1"/>
  <c r="U25" i="31"/>
  <c r="AC25" i="31" s="1"/>
  <c r="V25" i="31"/>
  <c r="W25" i="31"/>
  <c r="AE25" i="31" s="1"/>
  <c r="AM25" i="31" s="1"/>
  <c r="X25" i="31"/>
  <c r="AF25" i="31" s="1"/>
  <c r="AN25" i="31" s="1"/>
  <c r="Y25" i="31"/>
  <c r="AG25" i="31" s="1"/>
  <c r="Z25" i="31"/>
  <c r="AH25" i="31" s="1"/>
  <c r="AP25" i="31" s="1"/>
  <c r="AA25" i="31"/>
  <c r="AB25" i="31"/>
  <c r="C86" i="37" s="1"/>
  <c r="AO25" i="31"/>
  <c r="K26" i="31"/>
  <c r="B87" i="35" s="1"/>
  <c r="L26" i="31"/>
  <c r="C87" i="35" s="1"/>
  <c r="M26" i="31"/>
  <c r="N26" i="31"/>
  <c r="O26" i="31"/>
  <c r="P26" i="31"/>
  <c r="Q26" i="31"/>
  <c r="R26" i="31"/>
  <c r="S26" i="31"/>
  <c r="B87" i="36" s="1"/>
  <c r="T26" i="31"/>
  <c r="C87" i="36" s="1"/>
  <c r="U26" i="31"/>
  <c r="D87" i="36" s="1"/>
  <c r="V26" i="31"/>
  <c r="E87" i="36" s="1"/>
  <c r="W26" i="31"/>
  <c r="AE26" i="31" s="1"/>
  <c r="AM26" i="31" s="1"/>
  <c r="X26" i="31"/>
  <c r="AF26" i="31" s="1"/>
  <c r="AN26" i="31" s="1"/>
  <c r="Y26" i="31"/>
  <c r="Z26" i="31"/>
  <c r="AH26" i="31" s="1"/>
  <c r="AP26" i="31" s="1"/>
  <c r="AA26" i="31"/>
  <c r="B87" i="37" s="1"/>
  <c r="AB26" i="31"/>
  <c r="C87" i="37" s="1"/>
  <c r="AC26" i="31"/>
  <c r="D87" i="37" s="1"/>
  <c r="AD26" i="31"/>
  <c r="D100" i="37"/>
  <c r="E82" i="37"/>
  <c r="E78" i="37"/>
  <c r="E71" i="37"/>
  <c r="E82" i="36"/>
  <c r="E78" i="36"/>
  <c r="E76" i="36"/>
  <c r="E72" i="36"/>
  <c r="E71" i="36"/>
  <c r="D102" i="36"/>
  <c r="D103" i="36"/>
  <c r="D100" i="36"/>
  <c r="D102" i="35"/>
  <c r="D104" i="35"/>
  <c r="D101" i="35"/>
  <c r="D100" i="35"/>
  <c r="D103" i="35"/>
  <c r="E101" i="38"/>
  <c r="E103" i="38"/>
  <c r="E102" i="36"/>
  <c r="F87" i="36"/>
  <c r="F85" i="36"/>
  <c r="F84" i="36"/>
  <c r="F81" i="36"/>
  <c r="F80" i="36"/>
  <c r="F79" i="36"/>
  <c r="F77" i="36"/>
  <c r="F76" i="36"/>
  <c r="F75" i="36"/>
  <c r="F71" i="36"/>
  <c r="F69" i="36"/>
  <c r="E100" i="35"/>
  <c r="E102" i="35"/>
  <c r="J52" i="51"/>
  <c r="I52" i="51"/>
  <c r="H52" i="51"/>
  <c r="G52" i="51"/>
  <c r="F52" i="51"/>
  <c r="E52" i="51"/>
  <c r="J46" i="51"/>
  <c r="I46" i="51"/>
  <c r="H46" i="51"/>
  <c r="G46" i="51"/>
  <c r="F46" i="51"/>
  <c r="E46" i="51"/>
  <c r="D46" i="51"/>
  <c r="J40" i="51"/>
  <c r="I40" i="51"/>
  <c r="H40" i="51"/>
  <c r="G40" i="51"/>
  <c r="F40" i="51"/>
  <c r="E40" i="51"/>
  <c r="D40" i="51"/>
  <c r="J32" i="51"/>
  <c r="I32" i="51"/>
  <c r="H32" i="51"/>
  <c r="G32" i="51"/>
  <c r="F32" i="51"/>
  <c r="E32" i="51"/>
  <c r="D32" i="51"/>
  <c r="J20" i="51"/>
  <c r="I20" i="51"/>
  <c r="H20" i="51"/>
  <c r="G20" i="51"/>
  <c r="F20" i="51"/>
  <c r="E20" i="51"/>
  <c r="D20" i="51"/>
  <c r="D12" i="51"/>
  <c r="E12" i="51"/>
  <c r="G87" i="36"/>
  <c r="G84" i="36"/>
  <c r="G81" i="36"/>
  <c r="G80" i="36"/>
  <c r="G79" i="36"/>
  <c r="G76" i="36"/>
  <c r="G75" i="36"/>
  <c r="G74" i="36"/>
  <c r="G72" i="36"/>
  <c r="G71" i="36"/>
  <c r="G69" i="36"/>
  <c r="F103" i="35"/>
  <c r="H82" i="36"/>
  <c r="H75" i="36"/>
  <c r="H72" i="36"/>
  <c r="H69" i="36"/>
  <c r="H86" i="36"/>
  <c r="H83" i="36"/>
  <c r="H73" i="36"/>
  <c r="H70" i="36"/>
  <c r="H84" i="36"/>
  <c r="H77" i="36"/>
  <c r="H71" i="36"/>
  <c r="F12" i="51"/>
  <c r="F34" i="51" s="1"/>
  <c r="I86" i="36"/>
  <c r="I85" i="36"/>
  <c r="I84" i="36"/>
  <c r="I82" i="36"/>
  <c r="I81" i="36"/>
  <c r="I80" i="36"/>
  <c r="I79" i="36"/>
  <c r="I78" i="36"/>
  <c r="I77" i="36"/>
  <c r="I76" i="36"/>
  <c r="I75" i="36"/>
  <c r="I74" i="36"/>
  <c r="I73" i="36"/>
  <c r="I72" i="36"/>
  <c r="I71" i="36"/>
  <c r="I70" i="36"/>
  <c r="I69" i="36"/>
  <c r="G12" i="51"/>
  <c r="G34" i="51" s="1"/>
  <c r="H12" i="51"/>
  <c r="H34" i="51" s="1"/>
  <c r="H41" i="51" s="1"/>
  <c r="H47" i="51" s="1"/>
  <c r="H48" i="51" s="1"/>
  <c r="B343" i="36" s="1"/>
  <c r="I12" i="51"/>
  <c r="J12" i="51"/>
  <c r="J34" i="51" s="1"/>
  <c r="B247" i="41"/>
  <c r="B283" i="34" s="1"/>
  <c r="C247" i="41"/>
  <c r="D247" i="41"/>
  <c r="B248" i="41"/>
  <c r="C248" i="41"/>
  <c r="C284" i="34" s="1"/>
  <c r="D248" i="41"/>
  <c r="B249" i="41"/>
  <c r="C249" i="41"/>
  <c r="C285" i="34"/>
  <c r="D249" i="41"/>
  <c r="B250" i="41"/>
  <c r="C250" i="41"/>
  <c r="D250" i="41"/>
  <c r="D286" i="34" s="1"/>
  <c r="B251" i="41"/>
  <c r="C251" i="41"/>
  <c r="D251" i="41"/>
  <c r="D287" i="34" s="1"/>
  <c r="B252" i="41"/>
  <c r="B288" i="34" s="1"/>
  <c r="C252" i="41"/>
  <c r="D252" i="41"/>
  <c r="B253" i="41"/>
  <c r="B289" i="34" s="1"/>
  <c r="C253" i="41"/>
  <c r="D253" i="41"/>
  <c r="D289" i="34" s="1"/>
  <c r="B254" i="41"/>
  <c r="C254" i="41"/>
  <c r="D254" i="41"/>
  <c r="D290" i="34"/>
  <c r="B255" i="41"/>
  <c r="C255" i="41"/>
  <c r="D255" i="41"/>
  <c r="C283" i="34"/>
  <c r="D283" i="34"/>
  <c r="D284" i="34"/>
  <c r="D285" i="34"/>
  <c r="C286" i="34"/>
  <c r="C287" i="34"/>
  <c r="C288" i="34"/>
  <c r="D288" i="34"/>
  <c r="B290" i="34"/>
  <c r="B291" i="34"/>
  <c r="D291" i="34"/>
  <c r="B234" i="41"/>
  <c r="B275" i="34" s="1"/>
  <c r="C234" i="41"/>
  <c r="D234" i="41"/>
  <c r="E234" i="41"/>
  <c r="E275" i="34" s="1"/>
  <c r="F234" i="41"/>
  <c r="G234" i="41"/>
  <c r="G275" i="34" s="1"/>
  <c r="H234" i="41"/>
  <c r="I234" i="41"/>
  <c r="I275" i="34"/>
  <c r="B235" i="41"/>
  <c r="B276" i="34" s="1"/>
  <c r="C235" i="41"/>
  <c r="D235" i="41"/>
  <c r="E235" i="41"/>
  <c r="E276" i="34" s="1"/>
  <c r="F235" i="41"/>
  <c r="G235" i="41"/>
  <c r="G276" i="34" s="1"/>
  <c r="H235" i="41"/>
  <c r="B236" i="41"/>
  <c r="B277" i="34" s="1"/>
  <c r="C236" i="41"/>
  <c r="C277" i="34" s="1"/>
  <c r="D236" i="41"/>
  <c r="E236" i="41"/>
  <c r="F236" i="41"/>
  <c r="F277" i="34"/>
  <c r="G236" i="41"/>
  <c r="B237" i="41"/>
  <c r="B278" i="34" s="1"/>
  <c r="C237" i="41"/>
  <c r="D237" i="41"/>
  <c r="D278" i="34"/>
  <c r="E237" i="41"/>
  <c r="E278" i="34" s="1"/>
  <c r="M105" i="30"/>
  <c r="L105" i="30"/>
  <c r="K105" i="30"/>
  <c r="M104" i="30"/>
  <c r="L104" i="30"/>
  <c r="K104" i="30"/>
  <c r="M103" i="30"/>
  <c r="L103" i="30"/>
  <c r="K103" i="30"/>
  <c r="M102" i="30"/>
  <c r="L102" i="30"/>
  <c r="K102" i="30"/>
  <c r="E58" i="30"/>
  <c r="E57" i="30"/>
  <c r="E56" i="30"/>
  <c r="E29" i="30"/>
  <c r="E30" i="30"/>
  <c r="E31" i="30"/>
  <c r="M72" i="30"/>
  <c r="L72" i="30"/>
  <c r="K72" i="30"/>
  <c r="M71" i="30"/>
  <c r="L71" i="30"/>
  <c r="K71" i="30"/>
  <c r="E52" i="30"/>
  <c r="E51" i="30"/>
  <c r="E25" i="30"/>
  <c r="E24" i="30"/>
  <c r="D267" i="41"/>
  <c r="C267" i="41"/>
  <c r="B267" i="41"/>
  <c r="B300" i="34" s="1"/>
  <c r="D266" i="41"/>
  <c r="C266" i="41"/>
  <c r="C299" i="34" s="1"/>
  <c r="B266" i="41"/>
  <c r="D265" i="41"/>
  <c r="D298" i="34" s="1"/>
  <c r="C265" i="41"/>
  <c r="C298" i="34" s="1"/>
  <c r="B265" i="41"/>
  <c r="D264" i="41"/>
  <c r="C264" i="41"/>
  <c r="C297" i="34"/>
  <c r="B264" i="41"/>
  <c r="B297" i="34" s="1"/>
  <c r="D275" i="41"/>
  <c r="C275" i="41"/>
  <c r="C308" i="34" s="1"/>
  <c r="B275" i="41"/>
  <c r="B308" i="34"/>
  <c r="D274" i="41"/>
  <c r="D307" i="34" s="1"/>
  <c r="C274" i="41"/>
  <c r="B274" i="41"/>
  <c r="D273" i="41"/>
  <c r="D306" i="34" s="1"/>
  <c r="C273" i="41"/>
  <c r="B273" i="41"/>
  <c r="D289" i="41"/>
  <c r="C289" i="41"/>
  <c r="C322" i="34" s="1"/>
  <c r="B289" i="41"/>
  <c r="D282" i="41"/>
  <c r="C282" i="41"/>
  <c r="B282" i="41"/>
  <c r="B315" i="34"/>
  <c r="D272" i="41"/>
  <c r="D305" i="34" s="1"/>
  <c r="C272" i="41"/>
  <c r="B272" i="41"/>
  <c r="D263" i="41"/>
  <c r="D296" i="34"/>
  <c r="C263" i="41"/>
  <c r="B263" i="41"/>
  <c r="E226" i="41"/>
  <c r="D226" i="41"/>
  <c r="D267" i="34" s="1"/>
  <c r="C226" i="41"/>
  <c r="B226" i="41"/>
  <c r="B221" i="41"/>
  <c r="B262" i="34" s="1"/>
  <c r="B108" i="41"/>
  <c r="A29" i="32"/>
  <c r="K29" i="32"/>
  <c r="L29" i="32"/>
  <c r="M29" i="32"/>
  <c r="N29" i="32"/>
  <c r="R29" i="32"/>
  <c r="Y29" i="32" s="1"/>
  <c r="S29" i="32"/>
  <c r="T29" i="32"/>
  <c r="U29" i="32"/>
  <c r="V29" i="32"/>
  <c r="Z29" i="32"/>
  <c r="AA29" i="32"/>
  <c r="AB29" i="32"/>
  <c r="E149" i="37" s="1"/>
  <c r="AC29" i="32"/>
  <c r="AG29" i="32"/>
  <c r="AH29" i="32"/>
  <c r="AI29" i="32"/>
  <c r="AJ29" i="32"/>
  <c r="C148" i="34"/>
  <c r="D148" i="34"/>
  <c r="E148" i="34"/>
  <c r="F148" i="34"/>
  <c r="H148" i="34"/>
  <c r="J310" i="41"/>
  <c r="I310" i="41"/>
  <c r="I350" i="34"/>
  <c r="H310" i="41"/>
  <c r="H350" i="34" s="1"/>
  <c r="G310" i="41"/>
  <c r="F310" i="41"/>
  <c r="E310" i="41"/>
  <c r="E350" i="34"/>
  <c r="D310" i="41"/>
  <c r="D350" i="34" s="1"/>
  <c r="C310" i="41"/>
  <c r="B310" i="41"/>
  <c r="E303" i="41"/>
  <c r="E337" i="34" s="1"/>
  <c r="D303" i="41"/>
  <c r="C303" i="41"/>
  <c r="B303" i="41"/>
  <c r="B337" i="34" s="1"/>
  <c r="E302" i="41"/>
  <c r="E336" i="34" s="1"/>
  <c r="D302" i="41"/>
  <c r="D336" i="34" s="1"/>
  <c r="C302" i="41"/>
  <c r="B302" i="41"/>
  <c r="E301" i="41"/>
  <c r="E335" i="34"/>
  <c r="D301" i="41"/>
  <c r="C301" i="41"/>
  <c r="B301" i="41"/>
  <c r="E300" i="41"/>
  <c r="E334" i="34"/>
  <c r="D300" i="41"/>
  <c r="D334" i="34" s="1"/>
  <c r="C300" i="41"/>
  <c r="B300" i="41"/>
  <c r="E299" i="41"/>
  <c r="E333" i="34" s="1"/>
  <c r="D299" i="41"/>
  <c r="C299" i="41"/>
  <c r="B299" i="41"/>
  <c r="B333" i="34" s="1"/>
  <c r="E298" i="41"/>
  <c r="E332" i="34" s="1"/>
  <c r="D298" i="41"/>
  <c r="D332" i="34" s="1"/>
  <c r="C298" i="41"/>
  <c r="B298" i="41"/>
  <c r="E297" i="41"/>
  <c r="E331" i="34"/>
  <c r="D297" i="41"/>
  <c r="D331" i="34" s="1"/>
  <c r="C297" i="41"/>
  <c r="B297" i="41"/>
  <c r="E296" i="41"/>
  <c r="E330" i="34"/>
  <c r="D296" i="41"/>
  <c r="D330" i="34" s="1"/>
  <c r="C296" i="41"/>
  <c r="B296" i="41"/>
  <c r="B330" i="34" s="1"/>
  <c r="E295" i="41"/>
  <c r="E329" i="34" s="1"/>
  <c r="D295" i="41"/>
  <c r="C295" i="41"/>
  <c r="B295" i="41"/>
  <c r="C99" i="41"/>
  <c r="C140" i="34" s="1"/>
  <c r="B99" i="41"/>
  <c r="C98" i="41"/>
  <c r="B98" i="41"/>
  <c r="C97" i="41"/>
  <c r="C138" i="34" s="1"/>
  <c r="B97" i="41"/>
  <c r="C96" i="41"/>
  <c r="C137" i="34" s="1"/>
  <c r="B96" i="41"/>
  <c r="C95" i="41"/>
  <c r="B95" i="41"/>
  <c r="C94" i="41"/>
  <c r="B94" i="41"/>
  <c r="C93" i="41"/>
  <c r="C134" i="34" s="1"/>
  <c r="B93" i="41"/>
  <c r="C92" i="41"/>
  <c r="C133" i="34"/>
  <c r="B92" i="41"/>
  <c r="B133" i="34" s="1"/>
  <c r="C91" i="41"/>
  <c r="B91" i="41"/>
  <c r="C90" i="41"/>
  <c r="C131" i="34"/>
  <c r="B90" i="41"/>
  <c r="C89" i="41"/>
  <c r="C130" i="34" s="1"/>
  <c r="B89" i="41"/>
  <c r="C88" i="41"/>
  <c r="C129" i="34" s="1"/>
  <c r="B88" i="41"/>
  <c r="C87" i="41"/>
  <c r="B87" i="41"/>
  <c r="C86" i="41"/>
  <c r="C85" i="41"/>
  <c r="B85" i="41"/>
  <c r="B126" i="34" s="1"/>
  <c r="C84" i="41"/>
  <c r="B84" i="41"/>
  <c r="B125" i="34"/>
  <c r="C83" i="41"/>
  <c r="C124" i="34" s="1"/>
  <c r="C82" i="41"/>
  <c r="B82" i="41"/>
  <c r="C81" i="41"/>
  <c r="C122" i="34"/>
  <c r="B81" i="41"/>
  <c r="J350" i="34"/>
  <c r="B350" i="34"/>
  <c r="D337" i="34"/>
  <c r="B336" i="34"/>
  <c r="D335" i="34"/>
  <c r="B334" i="34"/>
  <c r="D333" i="34"/>
  <c r="B332" i="34"/>
  <c r="D329" i="34"/>
  <c r="B329" i="34"/>
  <c r="B322" i="34"/>
  <c r="C315" i="34"/>
  <c r="B307" i="34"/>
  <c r="C306" i="34"/>
  <c r="C300" i="34"/>
  <c r="D299" i="34"/>
  <c r="B299" i="34"/>
  <c r="D297" i="34"/>
  <c r="C296" i="34"/>
  <c r="G277" i="34"/>
  <c r="E277" i="34"/>
  <c r="F276" i="34"/>
  <c r="D276" i="34"/>
  <c r="F275" i="34"/>
  <c r="D275" i="34"/>
  <c r="E267" i="34"/>
  <c r="C267" i="34"/>
  <c r="B267" i="34"/>
  <c r="B140" i="34"/>
  <c r="B139" i="34"/>
  <c r="B137" i="34"/>
  <c r="B135" i="34"/>
  <c r="B131" i="34"/>
  <c r="B129" i="34"/>
  <c r="C126" i="34"/>
  <c r="B122" i="34"/>
  <c r="F116" i="34"/>
  <c r="E116" i="34"/>
  <c r="D116" i="34"/>
  <c r="C116" i="34"/>
  <c r="H110" i="34"/>
  <c r="G110" i="34"/>
  <c r="F110" i="34"/>
  <c r="E110" i="34"/>
  <c r="D110" i="34"/>
  <c r="C110" i="34"/>
  <c r="B110" i="34"/>
  <c r="F63" i="34"/>
  <c r="E63" i="34"/>
  <c r="D63" i="34"/>
  <c r="C63" i="34"/>
  <c r="B63" i="34"/>
  <c r="I58" i="34"/>
  <c r="H58" i="34"/>
  <c r="G58" i="34"/>
  <c r="F58" i="34"/>
  <c r="E58" i="34"/>
  <c r="D58" i="34"/>
  <c r="C58" i="34"/>
  <c r="B58" i="34"/>
  <c r="B53" i="34"/>
  <c r="B52" i="34"/>
  <c r="B51" i="34"/>
  <c r="B50" i="34"/>
  <c r="B49" i="34"/>
  <c r="B48" i="34"/>
  <c r="B47" i="34"/>
  <c r="B46" i="34"/>
  <c r="B41" i="34"/>
  <c r="B36" i="34"/>
  <c r="B29" i="34"/>
  <c r="B27" i="34"/>
  <c r="B25" i="34"/>
  <c r="B24" i="34"/>
  <c r="F14" i="34"/>
  <c r="E14" i="34"/>
  <c r="C14" i="34"/>
  <c r="B14" i="34"/>
  <c r="D7" i="34"/>
  <c r="C7" i="34"/>
  <c r="B83" i="41"/>
  <c r="B86" i="41"/>
  <c r="R7" i="31"/>
  <c r="Z7" i="31" s="1"/>
  <c r="Q7" i="31"/>
  <c r="Y7" i="31" s="1"/>
  <c r="P7" i="31"/>
  <c r="X7" i="31" s="1"/>
  <c r="G68" i="36" s="1"/>
  <c r="O7" i="31"/>
  <c r="W7" i="31" s="1"/>
  <c r="N7" i="31"/>
  <c r="V7" i="31" s="1"/>
  <c r="M7" i="31"/>
  <c r="U7" i="31" s="1"/>
  <c r="L7" i="31"/>
  <c r="C68" i="35" s="1"/>
  <c r="C66" i="34"/>
  <c r="C82" i="34" s="1"/>
  <c r="D66" i="34"/>
  <c r="D70" i="34" s="1"/>
  <c r="B82" i="34"/>
  <c r="B81" i="34"/>
  <c r="B80" i="34"/>
  <c r="B79" i="34"/>
  <c r="B78" i="34"/>
  <c r="C77" i="34"/>
  <c r="B77" i="34"/>
  <c r="B76" i="34"/>
  <c r="C75" i="34"/>
  <c r="B75" i="34"/>
  <c r="B74" i="34"/>
  <c r="B73" i="34"/>
  <c r="B72" i="34"/>
  <c r="B71" i="34"/>
  <c r="B70" i="34"/>
  <c r="C69" i="34"/>
  <c r="B69" i="34"/>
  <c r="L38" i="31"/>
  <c r="F99" i="35" s="1"/>
  <c r="K38" i="31"/>
  <c r="P38" i="31" s="1"/>
  <c r="J38" i="31"/>
  <c r="I38" i="31"/>
  <c r="C99" i="35" s="1"/>
  <c r="H38" i="31"/>
  <c r="R33" i="31"/>
  <c r="Z33" i="31" s="1"/>
  <c r="I94" i="36" s="1"/>
  <c r="Q33" i="31"/>
  <c r="Y33" i="31" s="1"/>
  <c r="H94" i="36" s="1"/>
  <c r="P33" i="31"/>
  <c r="X33" i="31" s="1"/>
  <c r="G94" i="36" s="1"/>
  <c r="O33" i="31"/>
  <c r="W33" i="31" s="1"/>
  <c r="F94" i="36" s="1"/>
  <c r="AE33" i="31"/>
  <c r="AM33" i="31" s="1"/>
  <c r="N33" i="31"/>
  <c r="V33" i="31" s="1"/>
  <c r="E94" i="36" s="1"/>
  <c r="M33" i="31"/>
  <c r="U33" i="31" s="1"/>
  <c r="D94" i="36" s="1"/>
  <c r="L33" i="31"/>
  <c r="T33" i="31" s="1"/>
  <c r="K33" i="31"/>
  <c r="B94" i="35" s="1"/>
  <c r="K7" i="31"/>
  <c r="B68" i="35" s="1"/>
  <c r="B1" i="30"/>
  <c r="C97" i="34"/>
  <c r="C100" i="34" s="1"/>
  <c r="B101" i="34"/>
  <c r="B100" i="34"/>
  <c r="B99" i="34"/>
  <c r="B94" i="34"/>
  <c r="B68" i="34"/>
  <c r="B13" i="40"/>
  <c r="C18" i="40"/>
  <c r="D18" i="40"/>
  <c r="E18" i="40"/>
  <c r="F18" i="40"/>
  <c r="G18" i="40"/>
  <c r="C19" i="40"/>
  <c r="D19" i="40"/>
  <c r="E19" i="40"/>
  <c r="F19" i="40"/>
  <c r="G19" i="40"/>
  <c r="B2" i="39"/>
  <c r="G6" i="32"/>
  <c r="H6" i="32"/>
  <c r="D7" i="39" s="1"/>
  <c r="C102" i="39" s="1"/>
  <c r="I6" i="32"/>
  <c r="D8" i="39" s="1"/>
  <c r="C187" i="39" s="1"/>
  <c r="J6" i="32"/>
  <c r="D9" i="39"/>
  <c r="C272" i="39" s="1"/>
  <c r="K6" i="32"/>
  <c r="G19" i="32"/>
  <c r="G20" i="32"/>
  <c r="G21" i="32"/>
  <c r="G23" i="32"/>
  <c r="C5" i="31"/>
  <c r="K5" i="31"/>
  <c r="S5" i="31"/>
  <c r="AA5" i="31"/>
  <c r="AI5" i="31"/>
  <c r="C31" i="31"/>
  <c r="K31" i="31"/>
  <c r="S31" i="31"/>
  <c r="AA31" i="31"/>
  <c r="AI31" i="31"/>
  <c r="C36" i="31"/>
  <c r="H36" i="31"/>
  <c r="M36" i="31"/>
  <c r="R36" i="31"/>
  <c r="W36" i="31"/>
  <c r="B2" i="30"/>
  <c r="E15" i="30"/>
  <c r="E16" i="30"/>
  <c r="E18" i="30"/>
  <c r="E19" i="30"/>
  <c r="E21" i="30"/>
  <c r="E22" i="30"/>
  <c r="E23" i="30"/>
  <c r="E26" i="30"/>
  <c r="E27" i="30"/>
  <c r="E28" i="30"/>
  <c r="E32" i="30"/>
  <c r="E33" i="30"/>
  <c r="E42" i="30"/>
  <c r="E43" i="30"/>
  <c r="E44" i="30"/>
  <c r="E45" i="30"/>
  <c r="E46" i="30"/>
  <c r="E47" i="30"/>
  <c r="E48" i="30"/>
  <c r="E49" i="30"/>
  <c r="E50" i="30"/>
  <c r="E53" i="30"/>
  <c r="E54" i="30"/>
  <c r="E55" i="30"/>
  <c r="E59" i="30"/>
  <c r="E60" i="30"/>
  <c r="K70" i="30"/>
  <c r="L70" i="30"/>
  <c r="M70" i="30"/>
  <c r="K73" i="30"/>
  <c r="L73" i="30"/>
  <c r="M73" i="30"/>
  <c r="K74" i="30"/>
  <c r="L74" i="30"/>
  <c r="M74" i="30"/>
  <c r="K75" i="30"/>
  <c r="L75" i="30"/>
  <c r="M75" i="30"/>
  <c r="K76" i="30"/>
  <c r="L76" i="30"/>
  <c r="M76" i="30"/>
  <c r="K77" i="30"/>
  <c r="L77" i="30"/>
  <c r="M77" i="30"/>
  <c r="K78" i="30"/>
  <c r="L78" i="30"/>
  <c r="M78" i="30"/>
  <c r="K88" i="30"/>
  <c r="L88" i="30"/>
  <c r="M88" i="30"/>
  <c r="K89" i="30"/>
  <c r="L89" i="30"/>
  <c r="M89" i="30"/>
  <c r="K90" i="30"/>
  <c r="L90" i="30"/>
  <c r="M90" i="30"/>
  <c r="K91" i="30"/>
  <c r="L91" i="30"/>
  <c r="M91" i="30"/>
  <c r="K92" i="30"/>
  <c r="L92" i="30"/>
  <c r="M92" i="30"/>
  <c r="N115" i="30"/>
  <c r="O115" i="30"/>
  <c r="N116" i="30"/>
  <c r="O116" i="30"/>
  <c r="N117" i="30"/>
  <c r="O117" i="30"/>
  <c r="N118" i="30"/>
  <c r="O118" i="30"/>
  <c r="N119" i="30"/>
  <c r="O119" i="30"/>
  <c r="N120" i="30"/>
  <c r="O120" i="30"/>
  <c r="N121" i="30"/>
  <c r="O121" i="30"/>
  <c r="N122" i="30"/>
  <c r="O122" i="30"/>
  <c r="N123" i="30"/>
  <c r="O123" i="30"/>
  <c r="E9" i="29"/>
  <c r="B3" i="27"/>
  <c r="B4" i="26"/>
  <c r="B5" i="26"/>
  <c r="A7" i="26"/>
  <c r="Y26" i="32"/>
  <c r="J18" i="32"/>
  <c r="N6" i="32"/>
  <c r="R6" i="32"/>
  <c r="V6" i="32" s="1"/>
  <c r="A30" i="32"/>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B149" i="34"/>
  <c r="D83" i="34"/>
  <c r="D94" i="34"/>
  <c r="D77" i="34"/>
  <c r="D97" i="34"/>
  <c r="E97" i="34" s="1"/>
  <c r="E101" i="34" s="1"/>
  <c r="C103" i="34"/>
  <c r="C102" i="34"/>
  <c r="C104" i="34"/>
  <c r="C83" i="34"/>
  <c r="C87" i="34"/>
  <c r="C86" i="34"/>
  <c r="C85" i="34"/>
  <c r="C84" i="34"/>
  <c r="I23" i="32"/>
  <c r="I21" i="32"/>
  <c r="H21" i="32"/>
  <c r="J21" i="32"/>
  <c r="R26" i="32"/>
  <c r="H18" i="32"/>
  <c r="M6" i="32"/>
  <c r="Q6" i="32"/>
  <c r="U6" i="32" s="1"/>
  <c r="L6" i="32"/>
  <c r="P6" i="32" s="1"/>
  <c r="T6" i="32" s="1"/>
  <c r="K26" i="32"/>
  <c r="I18" i="32"/>
  <c r="D100" i="34"/>
  <c r="E66" i="34"/>
  <c r="D103" i="34"/>
  <c r="E103" i="34"/>
  <c r="D99" i="34"/>
  <c r="E74" i="34"/>
  <c r="E71" i="34"/>
  <c r="F97" i="34"/>
  <c r="F102" i="34"/>
  <c r="D697" i="57" l="1"/>
  <c r="G1272" i="57"/>
  <c r="B2956" i="57"/>
  <c r="B3128" i="57" s="1"/>
  <c r="B923" i="57"/>
  <c r="G61" i="55"/>
  <c r="F96" i="56"/>
  <c r="J35" i="55"/>
  <c r="I107" i="56"/>
  <c r="O97" i="56"/>
  <c r="F81" i="55"/>
  <c r="G54" i="55"/>
  <c r="H30" i="55"/>
  <c r="O1598" i="57"/>
  <c r="O1704" i="57" s="1"/>
  <c r="Y1607" i="57"/>
  <c r="Y1892" i="57" s="1"/>
  <c r="Y1610" i="57"/>
  <c r="Y1895" i="57" s="1"/>
  <c r="L70" i="56"/>
  <c r="J70" i="56"/>
  <c r="E4403" i="57"/>
  <c r="G1168" i="57"/>
  <c r="E1273" i="57" s="1"/>
  <c r="AG1582" i="57"/>
  <c r="AG1607" i="57" s="1"/>
  <c r="AG1892" i="57" s="1"/>
  <c r="D2105" i="57"/>
  <c r="D1227" i="57"/>
  <c r="B1290" i="57" s="1"/>
  <c r="D4462" i="57"/>
  <c r="H1227" i="57"/>
  <c r="F1290" i="57" s="1"/>
  <c r="F1227" i="57"/>
  <c r="D1290" i="57" s="1"/>
  <c r="G4462" i="57"/>
  <c r="C1227" i="57"/>
  <c r="G1227" i="57" s="1"/>
  <c r="E1290" i="57" s="1"/>
  <c r="E1227" i="57"/>
  <c r="C1290" i="57" s="1"/>
  <c r="H4462" i="57"/>
  <c r="F4462" i="57"/>
  <c r="I1227" i="57"/>
  <c r="G1290" i="57" s="1"/>
  <c r="G4433" i="57"/>
  <c r="H4433" i="57"/>
  <c r="J1198" i="57"/>
  <c r="D4433" i="57"/>
  <c r="I1198" i="57"/>
  <c r="G1282" i="57" s="1"/>
  <c r="F4433" i="57"/>
  <c r="C1198" i="57"/>
  <c r="F1198" i="57"/>
  <c r="C4443" i="57"/>
  <c r="C1208" i="57"/>
  <c r="F4443" i="57"/>
  <c r="D4398" i="57"/>
  <c r="C1163" i="57"/>
  <c r="G1163" i="57" s="1"/>
  <c r="G4398" i="57"/>
  <c r="J1163" i="57"/>
  <c r="H4398" i="57"/>
  <c r="H1163" i="57"/>
  <c r="E1191" i="57"/>
  <c r="C1280" i="57" s="1"/>
  <c r="H1191" i="57"/>
  <c r="I1191" i="57"/>
  <c r="D1191" i="57"/>
  <c r="C1191" i="57"/>
  <c r="G1191" i="57" s="1"/>
  <c r="F1191" i="57"/>
  <c r="J1191" i="57"/>
  <c r="C1213" i="57"/>
  <c r="F4448" i="57"/>
  <c r="H1213" i="57"/>
  <c r="J1213" i="57"/>
  <c r="H4448" i="57"/>
  <c r="F1213" i="57"/>
  <c r="I1213" i="57"/>
  <c r="H2876" i="57"/>
  <c r="I2918" i="57" s="1"/>
  <c r="H2860" i="57"/>
  <c r="I2902" i="57" s="1"/>
  <c r="H2872" i="57"/>
  <c r="I2914" i="57" s="1"/>
  <c r="H2856" i="57"/>
  <c r="I2898" i="57" s="1"/>
  <c r="H2880" i="57"/>
  <c r="I2922" i="57" s="1"/>
  <c r="H2864" i="57"/>
  <c r="I2906" i="57" s="1"/>
  <c r="I2882" i="57"/>
  <c r="J2924" i="57" s="1"/>
  <c r="I2874" i="57"/>
  <c r="J2916" i="57" s="1"/>
  <c r="I2866" i="57"/>
  <c r="J2908" i="57" s="1"/>
  <c r="I2858" i="57"/>
  <c r="J2900" i="57" s="1"/>
  <c r="I2883" i="57"/>
  <c r="J2925" i="57" s="1"/>
  <c r="I2875" i="57"/>
  <c r="J2917" i="57" s="1"/>
  <c r="I2867" i="57"/>
  <c r="J2909" i="57" s="1"/>
  <c r="I2859" i="57"/>
  <c r="J2901" i="57" s="1"/>
  <c r="I2888" i="57"/>
  <c r="J2930" i="57" s="1"/>
  <c r="I2880" i="57"/>
  <c r="J2922" i="57" s="1"/>
  <c r="I2872" i="57"/>
  <c r="J2914" i="57" s="1"/>
  <c r="I2864" i="57"/>
  <c r="J2906" i="57" s="1"/>
  <c r="I2856" i="57"/>
  <c r="J2898" i="57" s="1"/>
  <c r="I2881" i="57"/>
  <c r="J2923" i="57" s="1"/>
  <c r="I2873" i="57"/>
  <c r="J2915" i="57" s="1"/>
  <c r="I2865" i="57"/>
  <c r="J2907" i="57" s="1"/>
  <c r="I2857" i="57"/>
  <c r="J2899" i="57" s="1"/>
  <c r="I2884" i="57"/>
  <c r="J2926" i="57" s="1"/>
  <c r="I2876" i="57"/>
  <c r="J2918" i="57" s="1"/>
  <c r="I2868" i="57"/>
  <c r="J2910" i="57" s="1"/>
  <c r="I2860" i="57"/>
  <c r="J2902" i="57" s="1"/>
  <c r="I2885" i="57"/>
  <c r="J2927" i="57" s="1"/>
  <c r="I2877" i="57"/>
  <c r="J2919" i="57" s="1"/>
  <c r="I2869" i="57"/>
  <c r="J2911" i="57" s="1"/>
  <c r="I2861" i="57"/>
  <c r="J2903" i="57" s="1"/>
  <c r="B1437" i="57"/>
  <c r="H1282" i="57"/>
  <c r="G4406" i="57"/>
  <c r="F1171" i="57"/>
  <c r="F4406" i="57"/>
  <c r="I1171" i="57"/>
  <c r="D4406" i="57"/>
  <c r="J1171" i="57"/>
  <c r="F1194" i="57"/>
  <c r="I1194" i="57"/>
  <c r="H1194" i="57"/>
  <c r="C1194" i="57"/>
  <c r="G1194" i="57" s="1"/>
  <c r="G4451" i="57"/>
  <c r="J1216" i="57"/>
  <c r="H1287" i="57" s="1"/>
  <c r="H1216" i="57"/>
  <c r="F1287" i="57" s="1"/>
  <c r="C4451" i="57"/>
  <c r="F1216" i="57"/>
  <c r="D4451" i="57"/>
  <c r="C1216" i="57"/>
  <c r="G1216" i="57" s="1"/>
  <c r="E1287" i="57" s="1"/>
  <c r="I1216" i="57"/>
  <c r="D1216" i="57"/>
  <c r="I1184" i="57"/>
  <c r="G1278" i="57" s="1"/>
  <c r="H4419" i="57"/>
  <c r="C4441" i="57"/>
  <c r="I1206" i="57"/>
  <c r="G1284" i="57" s="1"/>
  <c r="H4441" i="57"/>
  <c r="F4441" i="57"/>
  <c r="E1206" i="57"/>
  <c r="C1284" i="57" s="1"/>
  <c r="G4441" i="57"/>
  <c r="F1206" i="57"/>
  <c r="D1284" i="57" s="1"/>
  <c r="D3903" i="57" s="1"/>
  <c r="C4053" i="57" s="1"/>
  <c r="H1206" i="57"/>
  <c r="F1284" i="57" s="1"/>
  <c r="G4455" i="57"/>
  <c r="D4455" i="57"/>
  <c r="E1220" i="57"/>
  <c r="C1288" i="57" s="1"/>
  <c r="C4455" i="57"/>
  <c r="J1220" i="57"/>
  <c r="H1288" i="57" s="1"/>
  <c r="C1220" i="57"/>
  <c r="G1220" i="57" s="1"/>
  <c r="E1288" i="57" s="1"/>
  <c r="H4455" i="57"/>
  <c r="I1220" i="57"/>
  <c r="G1288" i="57" s="1"/>
  <c r="F1241" i="57"/>
  <c r="F4476" i="57"/>
  <c r="J1241" i="57"/>
  <c r="H1295" i="57" s="1"/>
  <c r="I1241" i="57"/>
  <c r="G1295" i="57" s="1"/>
  <c r="E1241" i="57"/>
  <c r="G4476" i="57"/>
  <c r="H104" i="56"/>
  <c r="I63" i="55"/>
  <c r="B635" i="57"/>
  <c r="B2977" i="57" s="1"/>
  <c r="B3396" i="57"/>
  <c r="B3411" i="57" s="1"/>
  <c r="B3707" i="57" s="1"/>
  <c r="C1980" i="57"/>
  <c r="C1994" i="57" s="1"/>
  <c r="B2006" i="57" s="1"/>
  <c r="E1980" i="57"/>
  <c r="C2104" i="57"/>
  <c r="AB1582" i="57"/>
  <c r="D2100" i="57"/>
  <c r="M1582" i="57"/>
  <c r="M1595" i="57" s="1"/>
  <c r="M1703" i="57" s="1"/>
  <c r="B2888" i="57"/>
  <c r="C2930" i="57" s="1"/>
  <c r="B2884" i="57"/>
  <c r="C2926" i="57" s="1"/>
  <c r="B2880" i="57"/>
  <c r="C2922" i="57" s="1"/>
  <c r="B2876" i="57"/>
  <c r="C2918" i="57" s="1"/>
  <c r="B2872" i="57"/>
  <c r="C2914" i="57" s="1"/>
  <c r="B2868" i="57"/>
  <c r="C2910" i="57" s="1"/>
  <c r="B2864" i="57"/>
  <c r="C2906" i="57" s="1"/>
  <c r="B2860" i="57"/>
  <c r="C2902" i="57" s="1"/>
  <c r="B2856" i="57"/>
  <c r="C2898" i="57" s="1"/>
  <c r="B2887" i="57"/>
  <c r="C2929" i="57" s="1"/>
  <c r="B2883" i="57"/>
  <c r="C2925" i="57" s="1"/>
  <c r="B2879" i="57"/>
  <c r="C2921" i="57" s="1"/>
  <c r="B2875" i="57"/>
  <c r="C2917" i="57" s="1"/>
  <c r="B2871" i="57"/>
  <c r="C2913" i="57" s="1"/>
  <c r="B2867" i="57"/>
  <c r="C2909" i="57" s="1"/>
  <c r="B2863" i="57"/>
  <c r="C2905" i="57" s="1"/>
  <c r="B2859" i="57"/>
  <c r="C2901" i="57" s="1"/>
  <c r="B2885" i="57"/>
  <c r="C2927" i="57" s="1"/>
  <c r="B2881" i="57"/>
  <c r="C2923" i="57" s="1"/>
  <c r="B2877" i="57"/>
  <c r="C2919" i="57" s="1"/>
  <c r="B2873" i="57"/>
  <c r="C2915" i="57" s="1"/>
  <c r="B2869" i="57"/>
  <c r="C2911" i="57" s="1"/>
  <c r="B2865" i="57"/>
  <c r="C2907" i="57" s="1"/>
  <c r="B2861" i="57"/>
  <c r="C2903" i="57" s="1"/>
  <c r="B2857" i="57"/>
  <c r="C2899" i="57" s="1"/>
  <c r="F2875" i="57"/>
  <c r="G2917" i="57" s="1"/>
  <c r="F2860" i="57"/>
  <c r="G2902" i="57" s="1"/>
  <c r="F2887" i="57"/>
  <c r="G2929" i="57" s="1"/>
  <c r="F2871" i="57"/>
  <c r="G2913" i="57" s="1"/>
  <c r="F2856" i="57"/>
  <c r="G2898" i="57" s="1"/>
  <c r="F2879" i="57"/>
  <c r="G2921" i="57" s="1"/>
  <c r="F2863" i="57"/>
  <c r="G2905" i="57" s="1"/>
  <c r="C2885" i="57"/>
  <c r="D2927" i="57" s="1"/>
  <c r="C2881" i="57"/>
  <c r="D2923" i="57" s="1"/>
  <c r="C2877" i="57"/>
  <c r="D2919" i="57" s="1"/>
  <c r="C2873" i="57"/>
  <c r="D2915" i="57" s="1"/>
  <c r="C2869" i="57"/>
  <c r="D2911" i="57" s="1"/>
  <c r="C2865" i="57"/>
  <c r="D2907" i="57" s="1"/>
  <c r="C2861" i="57"/>
  <c r="D2903" i="57" s="1"/>
  <c r="C2857" i="57"/>
  <c r="D2899" i="57" s="1"/>
  <c r="C2888" i="57"/>
  <c r="D2930" i="57" s="1"/>
  <c r="C2884" i="57"/>
  <c r="D2926" i="57" s="1"/>
  <c r="C2880" i="57"/>
  <c r="D2922" i="57" s="1"/>
  <c r="C2876" i="57"/>
  <c r="D2918" i="57" s="1"/>
  <c r="C2872" i="57"/>
  <c r="D2914" i="57" s="1"/>
  <c r="C2868" i="57"/>
  <c r="D2910" i="57" s="1"/>
  <c r="C2864" i="57"/>
  <c r="D2906" i="57" s="1"/>
  <c r="C2860" i="57"/>
  <c r="D2902" i="57" s="1"/>
  <c r="C2856" i="57"/>
  <c r="D2898" i="57" s="1"/>
  <c r="C2886" i="57"/>
  <c r="D2928" i="57" s="1"/>
  <c r="C2882" i="57"/>
  <c r="D2924" i="57" s="1"/>
  <c r="C2878" i="57"/>
  <c r="D2920" i="57" s="1"/>
  <c r="C2874" i="57"/>
  <c r="D2916" i="57" s="1"/>
  <c r="C2870" i="57"/>
  <c r="D2912" i="57" s="1"/>
  <c r="C2866" i="57"/>
  <c r="D2908" i="57" s="1"/>
  <c r="C2862" i="57"/>
  <c r="D2904" i="57" s="1"/>
  <c r="C2858" i="57"/>
  <c r="D2900" i="57" s="1"/>
  <c r="E1327" i="57"/>
  <c r="D1344" i="57" s="1"/>
  <c r="D1638" i="57" s="1"/>
  <c r="C1327" i="57"/>
  <c r="B1344" i="57" s="1"/>
  <c r="B1638" i="57" s="1"/>
  <c r="C1335" i="57"/>
  <c r="B1352" i="57" s="1"/>
  <c r="D1335" i="57"/>
  <c r="C1352" i="57" s="1"/>
  <c r="D1379" i="57"/>
  <c r="C1392" i="57" s="1"/>
  <c r="C1379" i="57"/>
  <c r="B1392" i="57" s="1"/>
  <c r="B1497" i="57" s="1"/>
  <c r="E1497" i="57" s="1"/>
  <c r="B1541" i="57" s="1"/>
  <c r="C1541" i="57" s="1"/>
  <c r="E1379" i="57"/>
  <c r="D1392" i="57" s="1"/>
  <c r="D1497" i="57" s="1"/>
  <c r="C1568" i="57"/>
  <c r="D1568" i="57"/>
  <c r="AC1582" i="57"/>
  <c r="AC1612" i="57" s="1"/>
  <c r="AC1897" i="57" s="1"/>
  <c r="D2104" i="57"/>
  <c r="G541" i="57"/>
  <c r="G583" i="57" s="1"/>
  <c r="G545" i="57"/>
  <c r="G587" i="57" s="1"/>
  <c r="G549" i="57"/>
  <c r="G591" i="57" s="1"/>
  <c r="G633" i="57" s="1"/>
  <c r="G533" i="57"/>
  <c r="G575" i="57" s="1"/>
  <c r="G617" i="57" s="1"/>
  <c r="F4390" i="57"/>
  <c r="C1155" i="57"/>
  <c r="G4390" i="57"/>
  <c r="E1155" i="57"/>
  <c r="C1270" i="57" s="1"/>
  <c r="C3889" i="57" s="1"/>
  <c r="C4006" i="57" s="1"/>
  <c r="J1170" i="57"/>
  <c r="H1274" i="57" s="1"/>
  <c r="F4405" i="57"/>
  <c r="C1170" i="57"/>
  <c r="G1170" i="57" s="1"/>
  <c r="E1274" i="57" s="1"/>
  <c r="C3266" i="57" s="1"/>
  <c r="D1170" i="57"/>
  <c r="H4405" i="57"/>
  <c r="F1170" i="57"/>
  <c r="D1274" i="57" s="1"/>
  <c r="D3893" i="57" s="1"/>
  <c r="C4043" i="57" s="1"/>
  <c r="I1170" i="57"/>
  <c r="E1170" i="57"/>
  <c r="G4405" i="57"/>
  <c r="H1170" i="57"/>
  <c r="F1274" i="57" s="1"/>
  <c r="D1280" i="57"/>
  <c r="L118" i="56"/>
  <c r="J118" i="56"/>
  <c r="L124" i="56"/>
  <c r="J124" i="56"/>
  <c r="E1291" i="57"/>
  <c r="H1277" i="57"/>
  <c r="Y1609" i="57"/>
  <c r="Y1894" i="57" s="1"/>
  <c r="E1297" i="57"/>
  <c r="E2350" i="57"/>
  <c r="E1284" i="57"/>
  <c r="B911" i="57"/>
  <c r="K3573" i="57" s="1"/>
  <c r="O61" i="56"/>
  <c r="F22" i="55"/>
  <c r="B637" i="57"/>
  <c r="B2979" i="57" s="1"/>
  <c r="B3456" i="57" s="1"/>
  <c r="B3397" i="57"/>
  <c r="B3412" i="57" s="1"/>
  <c r="B3709" i="57" s="1"/>
  <c r="C678" i="57"/>
  <c r="B725" i="57"/>
  <c r="J32" i="55"/>
  <c r="I95" i="56"/>
  <c r="B2104" i="57"/>
  <c r="AA1582" i="57"/>
  <c r="H1582" i="57"/>
  <c r="C2099" i="57"/>
  <c r="G4460" i="57"/>
  <c r="H1225" i="57"/>
  <c r="F1289" i="57" s="1"/>
  <c r="D4460" i="57"/>
  <c r="D4382" i="57"/>
  <c r="F4382" i="57"/>
  <c r="O1608" i="57"/>
  <c r="O1893" i="57" s="1"/>
  <c r="I1190" i="57"/>
  <c r="G1280" i="57" s="1"/>
  <c r="C1190" i="57"/>
  <c r="G1190" i="57" s="1"/>
  <c r="E1280" i="57" s="1"/>
  <c r="J1190" i="57"/>
  <c r="H1280" i="57" s="1"/>
  <c r="D1190" i="57"/>
  <c r="B1280" i="57" s="1"/>
  <c r="B3899" i="57" s="1"/>
  <c r="C3983" i="57" s="1"/>
  <c r="H1190" i="57"/>
  <c r="F1280" i="57" s="1"/>
  <c r="D1212" i="57"/>
  <c r="E1212" i="57"/>
  <c r="C1148" i="57"/>
  <c r="G1148" i="57" s="1"/>
  <c r="F1148" i="57"/>
  <c r="D1268" i="57" s="1"/>
  <c r="F4383" i="57"/>
  <c r="E1148" i="57"/>
  <c r="G4383" i="57"/>
  <c r="D4383" i="57"/>
  <c r="J1148" i="57"/>
  <c r="H1268" i="57" s="1"/>
  <c r="C4383" i="57"/>
  <c r="I1148" i="57"/>
  <c r="G1268" i="57" s="1"/>
  <c r="G4393" i="57"/>
  <c r="H1158" i="57"/>
  <c r="H4393" i="57"/>
  <c r="I1158" i="57"/>
  <c r="G1271" i="57" s="1"/>
  <c r="D1158" i="57"/>
  <c r="J1158" i="57"/>
  <c r="H1271" i="57" s="1"/>
  <c r="D4393" i="57"/>
  <c r="E1158" i="57"/>
  <c r="C1271" i="57" s="1"/>
  <c r="C3890" i="57" s="1"/>
  <c r="C4007" i="57" s="1"/>
  <c r="F1180" i="57"/>
  <c r="H4415" i="57"/>
  <c r="E1180" i="57"/>
  <c r="C1277" i="57" s="1"/>
  <c r="C3896" i="57" s="1"/>
  <c r="C4013" i="57" s="1"/>
  <c r="I1180" i="57"/>
  <c r="G1277" i="57" s="1"/>
  <c r="F4415" i="57"/>
  <c r="H1180" i="57"/>
  <c r="F1277" i="57" s="1"/>
  <c r="D1180" i="57"/>
  <c r="B1277" i="57" s="1"/>
  <c r="F1193" i="57"/>
  <c r="D1281" i="57" s="1"/>
  <c r="D3900" i="57" s="1"/>
  <c r="C4050" i="57" s="1"/>
  <c r="H1193" i="57"/>
  <c r="E1193" i="57"/>
  <c r="C1281" i="57" s="1"/>
  <c r="C3900" i="57" s="1"/>
  <c r="C4017" i="57" s="1"/>
  <c r="D1193" i="57"/>
  <c r="B1281" i="57" s="1"/>
  <c r="H4449" i="57"/>
  <c r="I1214" i="57"/>
  <c r="G1286" i="57" s="1"/>
  <c r="F1214" i="57"/>
  <c r="G4449" i="57"/>
  <c r="F4470" i="57"/>
  <c r="F1235" i="57"/>
  <c r="D1293" i="57" s="1"/>
  <c r="G4470" i="57"/>
  <c r="E1235" i="57"/>
  <c r="C1293" i="57" s="1"/>
  <c r="D1235" i="57"/>
  <c r="B1293" i="57" s="1"/>
  <c r="C4470" i="57"/>
  <c r="H1235" i="57"/>
  <c r="F1293" i="57" s="1"/>
  <c r="E1332" i="57"/>
  <c r="D1349" i="57" s="1"/>
  <c r="D1713" i="57" s="1"/>
  <c r="C1332" i="57"/>
  <c r="B1349" i="57" s="1"/>
  <c r="B1713" i="57" s="1"/>
  <c r="D1332" i="57"/>
  <c r="C1349" i="57" s="1"/>
  <c r="C1713" i="57" s="1"/>
  <c r="F1271" i="57"/>
  <c r="O1612" i="57"/>
  <c r="O1897" i="57" s="1"/>
  <c r="O1595" i="57"/>
  <c r="O1703" i="57" s="1"/>
  <c r="E1147" i="57"/>
  <c r="C4382" i="57"/>
  <c r="I1225" i="57"/>
  <c r="G1289" i="57" s="1"/>
  <c r="F1212" i="57"/>
  <c r="E1183" i="57"/>
  <c r="C1278" i="57" s="1"/>
  <c r="C3897" i="57" s="1"/>
  <c r="C4014" i="57" s="1"/>
  <c r="D1183" i="57"/>
  <c r="O126" i="56"/>
  <c r="F41" i="55"/>
  <c r="M1598" i="57"/>
  <c r="M1704" i="57" s="1"/>
  <c r="D2101" i="57"/>
  <c r="D2119" i="57" s="1"/>
  <c r="Q2132" i="57" s="1"/>
  <c r="Q1582" i="57"/>
  <c r="B932" i="57"/>
  <c r="K3594" i="57" s="1"/>
  <c r="B908" i="57"/>
  <c r="B917" i="57"/>
  <c r="C917" i="57"/>
  <c r="C910" i="57"/>
  <c r="L3572" i="57" s="1"/>
  <c r="C921" i="57"/>
  <c r="L3583" i="57" s="1"/>
  <c r="C904" i="57"/>
  <c r="L3566" i="57" s="1"/>
  <c r="C912" i="57"/>
  <c r="L3574" i="57" s="1"/>
  <c r="C920" i="57"/>
  <c r="L3582" i="57" s="1"/>
  <c r="C928" i="57"/>
  <c r="L3590" i="57" s="1"/>
  <c r="B906" i="57"/>
  <c r="D906" i="57" s="1"/>
  <c r="B914" i="57"/>
  <c r="K3576" i="57" s="1"/>
  <c r="B922" i="57"/>
  <c r="C931" i="57"/>
  <c r="L3593" i="57" s="1"/>
  <c r="C922" i="57"/>
  <c r="L3584" i="57" s="1"/>
  <c r="B909" i="57"/>
  <c r="K3571" i="57" s="1"/>
  <c r="B928" i="57"/>
  <c r="C926" i="57"/>
  <c r="L3588" i="57" s="1"/>
  <c r="C913" i="57"/>
  <c r="L3575" i="57" s="1"/>
  <c r="C908" i="57"/>
  <c r="L3570" i="57" s="1"/>
  <c r="C916" i="57"/>
  <c r="C924" i="57"/>
  <c r="L3586" i="57" s="1"/>
  <c r="C932" i="57"/>
  <c r="L3594" i="57" s="1"/>
  <c r="B910" i="57"/>
  <c r="B918" i="57"/>
  <c r="D918" i="57" s="1"/>
  <c r="C927" i="57"/>
  <c r="L3589" i="57" s="1"/>
  <c r="B933" i="57"/>
  <c r="K3595" i="57" s="1"/>
  <c r="B924" i="57"/>
  <c r="K3586" i="57" s="1"/>
  <c r="C901" i="57"/>
  <c r="L3563" i="57" s="1"/>
  <c r="B832" i="57"/>
  <c r="C902" i="57"/>
  <c r="L3564" i="57" s="1"/>
  <c r="B916" i="57"/>
  <c r="B903" i="57"/>
  <c r="B919" i="57"/>
  <c r="C903" i="57"/>
  <c r="C911" i="57"/>
  <c r="L3573" i="57" s="1"/>
  <c r="C919" i="57"/>
  <c r="B930" i="57"/>
  <c r="K3592" i="57" s="1"/>
  <c r="B902" i="57"/>
  <c r="B927" i="57"/>
  <c r="B2968" i="57"/>
  <c r="B3140" i="57" s="1"/>
  <c r="D2883" i="57"/>
  <c r="E2925" i="57" s="1"/>
  <c r="D2873" i="57"/>
  <c r="E2915" i="57" s="1"/>
  <c r="D2867" i="57"/>
  <c r="E2909" i="57" s="1"/>
  <c r="D2886" i="57"/>
  <c r="E2928" i="57" s="1"/>
  <c r="D2878" i="57"/>
  <c r="E2920" i="57" s="1"/>
  <c r="D2870" i="57"/>
  <c r="E2912" i="57" s="1"/>
  <c r="D2856" i="57"/>
  <c r="E2898" i="57" s="1"/>
  <c r="D2869" i="57"/>
  <c r="E2911" i="57" s="1"/>
  <c r="D2879" i="57"/>
  <c r="E2921" i="57" s="1"/>
  <c r="D2881" i="57"/>
  <c r="E2923" i="57" s="1"/>
  <c r="D2865" i="57"/>
  <c r="E2907" i="57" s="1"/>
  <c r="D2882" i="57"/>
  <c r="E2924" i="57" s="1"/>
  <c r="D2874" i="57"/>
  <c r="E2916" i="57" s="1"/>
  <c r="D2866" i="57"/>
  <c r="E2908" i="57" s="1"/>
  <c r="D2860" i="57"/>
  <c r="E2902" i="57" s="1"/>
  <c r="D2885" i="57"/>
  <c r="E2927" i="57" s="1"/>
  <c r="D2863" i="57"/>
  <c r="E2905" i="57" s="1"/>
  <c r="D2887" i="57"/>
  <c r="E2929" i="57" s="1"/>
  <c r="D2859" i="57"/>
  <c r="E2901" i="57" s="1"/>
  <c r="D2888" i="57"/>
  <c r="E2930" i="57" s="1"/>
  <c r="D2880" i="57"/>
  <c r="E2922" i="57" s="1"/>
  <c r="D2872" i="57"/>
  <c r="E2914" i="57" s="1"/>
  <c r="D2864" i="57"/>
  <c r="E2906" i="57" s="1"/>
  <c r="D2858" i="57"/>
  <c r="E2900" i="57" s="1"/>
  <c r="D2861" i="57"/>
  <c r="E2903" i="57" s="1"/>
  <c r="D2871" i="57"/>
  <c r="E2913" i="57" s="1"/>
  <c r="H2882" i="57"/>
  <c r="I2924" i="57" s="1"/>
  <c r="H2877" i="57"/>
  <c r="I2919" i="57" s="1"/>
  <c r="H2873" i="57"/>
  <c r="I2915" i="57" s="1"/>
  <c r="H2869" i="57"/>
  <c r="I2911" i="57" s="1"/>
  <c r="H2865" i="57"/>
  <c r="I2907" i="57" s="1"/>
  <c r="H2861" i="57"/>
  <c r="I2903" i="57" s="1"/>
  <c r="H2857" i="57"/>
  <c r="I2899" i="57" s="1"/>
  <c r="H2886" i="57"/>
  <c r="I2928" i="57" s="1"/>
  <c r="H2879" i="57"/>
  <c r="I2921" i="57" s="1"/>
  <c r="H2875" i="57"/>
  <c r="I2917" i="57" s="1"/>
  <c r="H2871" i="57"/>
  <c r="I2913" i="57" s="1"/>
  <c r="H2867" i="57"/>
  <c r="I2909" i="57" s="1"/>
  <c r="H2863" i="57"/>
  <c r="I2905" i="57" s="1"/>
  <c r="H2859" i="57"/>
  <c r="I2901" i="57" s="1"/>
  <c r="H2883" i="57"/>
  <c r="I2925" i="57" s="1"/>
  <c r="H2878" i="57"/>
  <c r="I2920" i="57" s="1"/>
  <c r="H2874" i="57"/>
  <c r="I2916" i="57" s="1"/>
  <c r="H2870" i="57"/>
  <c r="I2912" i="57" s="1"/>
  <c r="H2866" i="57"/>
  <c r="I2908" i="57" s="1"/>
  <c r="H2862" i="57"/>
  <c r="I2904" i="57" s="1"/>
  <c r="H2858" i="57"/>
  <c r="I2900" i="57" s="1"/>
  <c r="F2888" i="57"/>
  <c r="G2930" i="57" s="1"/>
  <c r="F2884" i="57"/>
  <c r="G2926" i="57" s="1"/>
  <c r="F2880" i="57"/>
  <c r="G2922" i="57" s="1"/>
  <c r="F2876" i="57"/>
  <c r="G2918" i="57" s="1"/>
  <c r="F2872" i="57"/>
  <c r="G2914" i="57" s="1"/>
  <c r="F2868" i="57"/>
  <c r="G2910" i="57" s="1"/>
  <c r="F2864" i="57"/>
  <c r="G2906" i="57" s="1"/>
  <c r="F2857" i="57"/>
  <c r="G2899" i="57" s="1"/>
  <c r="F2886" i="57"/>
  <c r="G2928" i="57" s="1"/>
  <c r="F2882" i="57"/>
  <c r="G2924" i="57" s="1"/>
  <c r="F2878" i="57"/>
  <c r="G2920" i="57" s="1"/>
  <c r="F2874" i="57"/>
  <c r="G2916" i="57" s="1"/>
  <c r="F2870" i="57"/>
  <c r="G2912" i="57" s="1"/>
  <c r="F2866" i="57"/>
  <c r="G2908" i="57" s="1"/>
  <c r="F2862" i="57"/>
  <c r="G2904" i="57" s="1"/>
  <c r="F2859" i="57"/>
  <c r="G2901" i="57" s="1"/>
  <c r="F2885" i="57"/>
  <c r="G2927" i="57" s="1"/>
  <c r="F2881" i="57"/>
  <c r="G2923" i="57" s="1"/>
  <c r="F2877" i="57"/>
  <c r="G2919" i="57" s="1"/>
  <c r="F2873" i="57"/>
  <c r="G2915" i="57" s="1"/>
  <c r="F2869" i="57"/>
  <c r="G2911" i="57" s="1"/>
  <c r="F2865" i="57"/>
  <c r="G2907" i="57" s="1"/>
  <c r="F2861" i="57"/>
  <c r="G2903" i="57" s="1"/>
  <c r="F2858" i="57"/>
  <c r="G2900" i="57" s="1"/>
  <c r="C1377" i="57"/>
  <c r="B1390" i="57" s="1"/>
  <c r="D1377" i="57"/>
  <c r="C1390" i="57" s="1"/>
  <c r="C1566" i="57"/>
  <c r="E1566" i="57"/>
  <c r="D1566" i="57"/>
  <c r="D1570" i="57"/>
  <c r="E1570" i="57"/>
  <c r="C1570" i="57"/>
  <c r="D1574" i="57"/>
  <c r="E1574" i="57"/>
  <c r="C1574" i="57"/>
  <c r="F1281" i="57"/>
  <c r="G1281" i="57"/>
  <c r="B912" i="57"/>
  <c r="E1299" i="57"/>
  <c r="D1288" i="57"/>
  <c r="E4116" i="57" s="1"/>
  <c r="C626" i="57"/>
  <c r="C641" i="57"/>
  <c r="C621" i="57"/>
  <c r="C635" i="57"/>
  <c r="C620" i="57"/>
  <c r="C616" i="57"/>
  <c r="C639" i="57"/>
  <c r="C638" i="57"/>
  <c r="C622" i="57"/>
  <c r="C637" i="57"/>
  <c r="C617" i="57"/>
  <c r="C627" i="57"/>
  <c r="C640" i="57"/>
  <c r="C644" i="57"/>
  <c r="C623" i="57"/>
  <c r="C634" i="57"/>
  <c r="C618" i="57"/>
  <c r="C633" i="57"/>
  <c r="C613" i="57"/>
  <c r="C619" i="57"/>
  <c r="C632" i="57"/>
  <c r="C636" i="57"/>
  <c r="C2350" i="57" s="1"/>
  <c r="C630" i="57"/>
  <c r="C614" i="57"/>
  <c r="C629" i="57"/>
  <c r="C643" i="57"/>
  <c r="C628" i="57"/>
  <c r="C624" i="57"/>
  <c r="C2482" i="57" s="1"/>
  <c r="C2522" i="57" s="1"/>
  <c r="C612" i="57"/>
  <c r="B921" i="57"/>
  <c r="K3583" i="57" s="1"/>
  <c r="B929" i="57"/>
  <c r="K3591" i="57" s="1"/>
  <c r="H1273" i="57"/>
  <c r="E4126" i="57"/>
  <c r="D1277" i="57"/>
  <c r="D3896" i="57" s="1"/>
  <c r="C4046" i="57" s="1"/>
  <c r="B1287" i="57"/>
  <c r="B926" i="57"/>
  <c r="K3588" i="57" s="1"/>
  <c r="E2334" i="57"/>
  <c r="E2501" i="57"/>
  <c r="E2518" i="57" s="1"/>
  <c r="G1949" i="57"/>
  <c r="G2232" i="57" s="1"/>
  <c r="G1925" i="57"/>
  <c r="G2207" i="57" s="1"/>
  <c r="G1968" i="57"/>
  <c r="G2252" i="57" s="1"/>
  <c r="I616" i="57"/>
  <c r="I642" i="57"/>
  <c r="I635" i="57"/>
  <c r="I638" i="57"/>
  <c r="I619" i="57"/>
  <c r="I625" i="57"/>
  <c r="I632" i="57"/>
  <c r="I621" i="57"/>
  <c r="E4125" i="57"/>
  <c r="B1458" i="57"/>
  <c r="F2333" i="57"/>
  <c r="F2500" i="57"/>
  <c r="F2517" i="57" s="1"/>
  <c r="E1268" i="57"/>
  <c r="C3262" i="57" s="1"/>
  <c r="B696" i="57"/>
  <c r="B3903" i="57"/>
  <c r="C3987" i="57" s="1"/>
  <c r="D1198" i="57"/>
  <c r="B1282" i="57" s="1"/>
  <c r="B3901" i="57" s="1"/>
  <c r="C3985" i="57" s="1"/>
  <c r="C933" i="57"/>
  <c r="B901" i="57"/>
  <c r="B905" i="57"/>
  <c r="M1600" i="57"/>
  <c r="M1885" i="57" s="1"/>
  <c r="AB1600" i="57"/>
  <c r="AB1885" i="57" s="1"/>
  <c r="X1600" i="57"/>
  <c r="X1885" i="57" s="1"/>
  <c r="P1600" i="57"/>
  <c r="P1885" i="57" s="1"/>
  <c r="AC1600" i="57"/>
  <c r="AC1885" i="57" s="1"/>
  <c r="AG1600" i="57"/>
  <c r="AG1885" i="57" s="1"/>
  <c r="W1600" i="57"/>
  <c r="W1885" i="57" s="1"/>
  <c r="AE1600" i="57"/>
  <c r="AE1885" i="57" s="1"/>
  <c r="Y1600" i="57"/>
  <c r="Y1885" i="57" s="1"/>
  <c r="H1600" i="57"/>
  <c r="H1885" i="57" s="1"/>
  <c r="AF1600" i="57"/>
  <c r="AF1885" i="57" s="1"/>
  <c r="O1600" i="57"/>
  <c r="O1885" i="57" s="1"/>
  <c r="W1608" i="57"/>
  <c r="W1893" i="57" s="1"/>
  <c r="W1598" i="57"/>
  <c r="W1704" i="57" s="1"/>
  <c r="W1610" i="57"/>
  <c r="W1895" i="57" s="1"/>
  <c r="W1607" i="57"/>
  <c r="W1892" i="57" s="1"/>
  <c r="G1944" i="57" s="1"/>
  <c r="G2227" i="57" s="1"/>
  <c r="W1609" i="57"/>
  <c r="W1894" i="57" s="1"/>
  <c r="W1611" i="57"/>
  <c r="W1896" i="57" s="1"/>
  <c r="W1595" i="57"/>
  <c r="W1703" i="57" s="1"/>
  <c r="P1611" i="57"/>
  <c r="P1896" i="57" s="1"/>
  <c r="P1607" i="57"/>
  <c r="P1892" i="57" s="1"/>
  <c r="P1595" i="57"/>
  <c r="P1703" i="57" s="1"/>
  <c r="P1610" i="57"/>
  <c r="P1895" i="57" s="1"/>
  <c r="P1608" i="57"/>
  <c r="P1893" i="57" s="1"/>
  <c r="P1598" i="57"/>
  <c r="P1704" i="57" s="1"/>
  <c r="P1612" i="57"/>
  <c r="P1897" i="57" s="1"/>
  <c r="P1609" i="57"/>
  <c r="P1894" i="57" s="1"/>
  <c r="O1611" i="57"/>
  <c r="O1896" i="57" s="1"/>
  <c r="B1459" i="57"/>
  <c r="O1610" i="57"/>
  <c r="O1895" i="57" s="1"/>
  <c r="E2105" i="57"/>
  <c r="C2123" i="57" s="1"/>
  <c r="AF2132" i="57" s="1"/>
  <c r="E2104" i="57"/>
  <c r="C2122" i="57" s="1"/>
  <c r="AB2132" i="57" s="1"/>
  <c r="D915" i="57"/>
  <c r="B3894" i="57"/>
  <c r="C3978" i="57" s="1"/>
  <c r="D3894" i="57"/>
  <c r="C4044" i="57" s="1"/>
  <c r="C3894" i="57"/>
  <c r="C4011" i="57" s="1"/>
  <c r="E4448" i="57"/>
  <c r="G1213" i="57"/>
  <c r="E1286" i="57" s="1"/>
  <c r="E2103" i="57"/>
  <c r="Y1595" i="57"/>
  <c r="Y1703" i="57" s="1"/>
  <c r="Y1611" i="57"/>
  <c r="Y1896" i="57" s="1"/>
  <c r="Y1598" i="57"/>
  <c r="Y1704" i="57" s="1"/>
  <c r="B1455" i="57"/>
  <c r="B2352" i="57" s="1"/>
  <c r="B2395" i="57" s="1"/>
  <c r="B630" i="57"/>
  <c r="B632" i="57"/>
  <c r="B2974" i="57" s="1"/>
  <c r="B3451" i="57" s="1"/>
  <c r="B925" i="57"/>
  <c r="C909" i="57"/>
  <c r="C1193" i="57"/>
  <c r="G1193" i="57" s="1"/>
  <c r="E1281" i="57" s="1"/>
  <c r="B644" i="57"/>
  <c r="C914" i="57"/>
  <c r="D919" i="57"/>
  <c r="C930" i="57"/>
  <c r="D924" i="57"/>
  <c r="L47" i="56"/>
  <c r="L115" i="56"/>
  <c r="B913" i="57"/>
  <c r="E2101" i="57"/>
  <c r="B613" i="57"/>
  <c r="B2955" i="57" s="1"/>
  <c r="B3127" i="57" s="1"/>
  <c r="B622" i="57"/>
  <c r="B2964" i="57" s="1"/>
  <c r="B3136" i="57" s="1"/>
  <c r="AA112" i="32"/>
  <c r="AH112" i="32" s="1"/>
  <c r="I19" i="32"/>
  <c r="AI106" i="32"/>
  <c r="K20" i="32" s="1"/>
  <c r="J20" i="32"/>
  <c r="I20" i="32"/>
  <c r="B149" i="37"/>
  <c r="AF29" i="32"/>
  <c r="D101" i="36"/>
  <c r="T40" i="31"/>
  <c r="N43" i="31"/>
  <c r="S43" i="31" s="1"/>
  <c r="X43" i="31" s="1"/>
  <c r="S40" i="31"/>
  <c r="M42" i="31"/>
  <c r="AK26" i="31"/>
  <c r="AF9" i="31"/>
  <c r="AN9" i="31" s="1"/>
  <c r="G70" i="36"/>
  <c r="AJ26" i="31"/>
  <c r="C87" i="38" s="1"/>
  <c r="AA16" i="31"/>
  <c r="AJ13" i="31"/>
  <c r="C74" i="38" s="1"/>
  <c r="T7" i="31"/>
  <c r="AF12" i="31"/>
  <c r="AN12" i="31" s="1"/>
  <c r="G73" i="36"/>
  <c r="AG17" i="31"/>
  <c r="AO17" i="31" s="1"/>
  <c r="H78" i="36"/>
  <c r="AB22" i="31"/>
  <c r="AA19" i="31"/>
  <c r="AJ9" i="31"/>
  <c r="C70" i="38" s="1"/>
  <c r="AF22" i="31"/>
  <c r="AN22" i="31" s="1"/>
  <c r="AB19" i="31"/>
  <c r="AB16" i="31"/>
  <c r="C77" i="37" s="1"/>
  <c r="AB12" i="31"/>
  <c r="C73" i="37" s="1"/>
  <c r="F41" i="51"/>
  <c r="F47" i="51" s="1"/>
  <c r="F48" i="51" s="1"/>
  <c r="B343" i="34" s="1"/>
  <c r="F50" i="51"/>
  <c r="G77" i="36"/>
  <c r="AF16" i="31"/>
  <c r="AN16" i="31" s="1"/>
  <c r="H68" i="36"/>
  <c r="AG7" i="31"/>
  <c r="AO7" i="31" s="1"/>
  <c r="G51" i="51"/>
  <c r="G50" i="51"/>
  <c r="G41" i="51"/>
  <c r="G47" i="51" s="1"/>
  <c r="G48" i="51" s="1"/>
  <c r="B343" i="35" s="1"/>
  <c r="D69" i="38"/>
  <c r="D71" i="38"/>
  <c r="H81" i="36"/>
  <c r="E83" i="36"/>
  <c r="E83" i="37"/>
  <c r="D87" i="38"/>
  <c r="AA22" i="31"/>
  <c r="AJ16" i="31"/>
  <c r="C77" i="38" s="1"/>
  <c r="S33" i="31"/>
  <c r="C73" i="34"/>
  <c r="C81" i="34"/>
  <c r="C127" i="34"/>
  <c r="C135" i="34"/>
  <c r="I34" i="51"/>
  <c r="G86" i="36"/>
  <c r="E34" i="51"/>
  <c r="F51" i="51" s="1"/>
  <c r="AF21" i="31"/>
  <c r="AN21" i="31" s="1"/>
  <c r="AF17" i="31"/>
  <c r="AN17" i="31" s="1"/>
  <c r="T17" i="31"/>
  <c r="AC17" i="31"/>
  <c r="D78" i="36"/>
  <c r="AG33" i="31"/>
  <c r="AO33" i="31" s="1"/>
  <c r="C71" i="34"/>
  <c r="C79" i="34"/>
  <c r="H19" i="32"/>
  <c r="I83" i="36"/>
  <c r="I87" i="36"/>
  <c r="D34" i="51"/>
  <c r="AC21" i="31"/>
  <c r="D82" i="36"/>
  <c r="S17" i="31"/>
  <c r="AA9" i="31"/>
  <c r="C100" i="37"/>
  <c r="M43" i="31"/>
  <c r="H74" i="36"/>
  <c r="AK12" i="31"/>
  <c r="N42" i="31"/>
  <c r="R39" i="31"/>
  <c r="D73" i="36"/>
  <c r="B1461" i="57"/>
  <c r="E4128" i="57"/>
  <c r="D1291" i="57"/>
  <c r="E1277" i="57"/>
  <c r="C3269" i="57" s="1"/>
  <c r="G1283" i="57"/>
  <c r="B1299" i="57"/>
  <c r="D1282" i="57"/>
  <c r="B1271" i="57"/>
  <c r="E1240" i="57"/>
  <c r="C1295" i="57" s="1"/>
  <c r="F1240" i="57"/>
  <c r="D1295" i="57" s="1"/>
  <c r="B1449" i="57"/>
  <c r="G1274" i="57"/>
  <c r="E1171" i="57"/>
  <c r="C1274" i="57" s="1"/>
  <c r="C3893" i="57" s="1"/>
  <c r="C4010" i="57" s="1"/>
  <c r="D1171" i="57"/>
  <c r="B1274" i="57" s="1"/>
  <c r="B3893" i="57" s="1"/>
  <c r="C3977" i="57" s="1"/>
  <c r="J1231" i="57"/>
  <c r="H1291" i="57" s="1"/>
  <c r="D1231" i="57"/>
  <c r="B1291" i="57" s="1"/>
  <c r="E1329" i="57"/>
  <c r="D1346" i="57" s="1"/>
  <c r="D1712" i="57" s="1"/>
  <c r="E1376" i="57"/>
  <c r="D1389" i="57" s="1"/>
  <c r="E1335" i="57"/>
  <c r="D1352" i="57" s="1"/>
  <c r="D1498" i="57" s="1"/>
  <c r="E1377" i="57"/>
  <c r="D1390" i="57" s="1"/>
  <c r="E1378" i="57"/>
  <c r="D1391" i="57" s="1"/>
  <c r="E1331" i="57"/>
  <c r="D1348" i="57" s="1"/>
  <c r="D1331" i="57"/>
  <c r="C1348" i="57" s="1"/>
  <c r="D1378" i="57"/>
  <c r="C1391" i="57" s="1"/>
  <c r="D1333" i="57"/>
  <c r="C1350" i="57" s="1"/>
  <c r="D1376" i="57"/>
  <c r="C1389" i="57" s="1"/>
  <c r="D1334" i="57"/>
  <c r="C1351" i="57" s="1"/>
  <c r="C1497" i="57" s="1"/>
  <c r="D1327" i="57"/>
  <c r="C1344" i="57" s="1"/>
  <c r="D1243" i="57"/>
  <c r="B1296" i="57" s="1"/>
  <c r="F1243" i="57"/>
  <c r="D1296" i="57" s="1"/>
  <c r="L122" i="56"/>
  <c r="J122" i="56"/>
  <c r="D3887" i="57"/>
  <c r="C4037" i="57" s="1"/>
  <c r="B627" i="57"/>
  <c r="I1155" i="57"/>
  <c r="G1270" i="57" s="1"/>
  <c r="D1155" i="57"/>
  <c r="B1270" i="57" s="1"/>
  <c r="B3889" i="57" s="1"/>
  <c r="C3973" i="57" s="1"/>
  <c r="F1155" i="57"/>
  <c r="D1270" i="57" s="1"/>
  <c r="D3889" i="57" s="1"/>
  <c r="C4039" i="57" s="1"/>
  <c r="F4437" i="57"/>
  <c r="G4437" i="57"/>
  <c r="F1202" i="57"/>
  <c r="D1283" i="57" s="1"/>
  <c r="D3902" i="57" s="1"/>
  <c r="C4052" i="57" s="1"/>
  <c r="D4437" i="57"/>
  <c r="E1202" i="57"/>
  <c r="C1283" i="57" s="1"/>
  <c r="C3902" i="57" s="1"/>
  <c r="C4019" i="57" s="1"/>
  <c r="C4437" i="57"/>
  <c r="H1202" i="57"/>
  <c r="F1283" i="57" s="1"/>
  <c r="J1214" i="57"/>
  <c r="H1286" i="57" s="1"/>
  <c r="D1214" i="57"/>
  <c r="B1286" i="57" s="1"/>
  <c r="E1214" i="57"/>
  <c r="C1286" i="57" s="1"/>
  <c r="B1273" i="57"/>
  <c r="B3892" i="57" s="1"/>
  <c r="C3976" i="57" s="1"/>
  <c r="G531" i="57"/>
  <c r="G573" i="57" s="1"/>
  <c r="G539" i="57"/>
  <c r="G581" i="57" s="1"/>
  <c r="G623" i="57" s="1"/>
  <c r="G547" i="57"/>
  <c r="G589" i="57" s="1"/>
  <c r="G555" i="57"/>
  <c r="G597" i="57" s="1"/>
  <c r="G639" i="57" s="1"/>
  <c r="G528" i="57"/>
  <c r="G570" i="57" s="1"/>
  <c r="G612" i="57" s="1"/>
  <c r="G536" i="57"/>
  <c r="G578" i="57" s="1"/>
  <c r="G544" i="57"/>
  <c r="G586" i="57" s="1"/>
  <c r="G552" i="57"/>
  <c r="G594" i="57" s="1"/>
  <c r="G560" i="57"/>
  <c r="G602" i="57" s="1"/>
  <c r="G644" i="57" s="1"/>
  <c r="H1214" i="57"/>
  <c r="F1286" i="57" s="1"/>
  <c r="H1155" i="57"/>
  <c r="F1270" i="57" s="1"/>
  <c r="D4390" i="57"/>
  <c r="G553" i="57"/>
  <c r="G595" i="57" s="1"/>
  <c r="B3887" i="57"/>
  <c r="C3971" i="57" s="1"/>
  <c r="D921" i="57"/>
  <c r="C3901" i="57"/>
  <c r="C4018" i="57" s="1"/>
  <c r="B618" i="57"/>
  <c r="B2960" i="57" s="1"/>
  <c r="B3132" i="57" s="1"/>
  <c r="C625" i="57"/>
  <c r="C2483" i="57" s="1"/>
  <c r="C2523" i="57" s="1"/>
  <c r="B636" i="57"/>
  <c r="D3899" i="57"/>
  <c r="C4049" i="57" s="1"/>
  <c r="E1567" i="57"/>
  <c r="G557" i="57"/>
  <c r="G599" i="57" s="1"/>
  <c r="G530" i="57"/>
  <c r="G572" i="57" s="1"/>
  <c r="G542" i="57"/>
  <c r="G584" i="57" s="1"/>
  <c r="G554" i="57"/>
  <c r="G596" i="57" s="1"/>
  <c r="G534" i="57"/>
  <c r="G576" i="57" s="1"/>
  <c r="G618" i="57" s="1"/>
  <c r="G538" i="57"/>
  <c r="G580" i="57" s="1"/>
  <c r="G622" i="57" s="1"/>
  <c r="G558" i="57"/>
  <c r="G600" i="57" s="1"/>
  <c r="G642" i="57" s="1"/>
  <c r="G550" i="57"/>
  <c r="G592" i="57" s="1"/>
  <c r="G634" i="57" s="1"/>
  <c r="B624" i="57"/>
  <c r="D1273" i="57"/>
  <c r="D3892" i="57" s="1"/>
  <c r="C4042" i="57" s="1"/>
  <c r="G535" i="57"/>
  <c r="G577" i="57" s="1"/>
  <c r="G543" i="57"/>
  <c r="G585" i="57" s="1"/>
  <c r="G551" i="57"/>
  <c r="G593" i="57" s="1"/>
  <c r="G635" i="57" s="1"/>
  <c r="G559" i="57"/>
  <c r="G601" i="57" s="1"/>
  <c r="G643" i="57" s="1"/>
  <c r="G532" i="57"/>
  <c r="G574" i="57" s="1"/>
  <c r="G616" i="57" s="1"/>
  <c r="G540" i="57"/>
  <c r="G582" i="57" s="1"/>
  <c r="G548" i="57"/>
  <c r="G590" i="57" s="1"/>
  <c r="G556" i="57"/>
  <c r="G598" i="57" s="1"/>
  <c r="G640" i="57" s="1"/>
  <c r="F4449" i="57"/>
  <c r="C1202" i="57"/>
  <c r="J1155" i="57"/>
  <c r="H1270" i="57" s="1"/>
  <c r="C4390" i="57"/>
  <c r="G537" i="57"/>
  <c r="G579" i="57" s="1"/>
  <c r="H4437" i="57"/>
  <c r="G546" i="57"/>
  <c r="G588" i="57" s="1"/>
  <c r="L100" i="56"/>
  <c r="J100" i="56"/>
  <c r="C3892" i="57"/>
  <c r="C4009" i="57" s="1"/>
  <c r="C642" i="57"/>
  <c r="H2888" i="57"/>
  <c r="I2930" i="57" s="1"/>
  <c r="H2885" i="57"/>
  <c r="I2927" i="57" s="1"/>
  <c r="H2884" i="57"/>
  <c r="I2926" i="57" s="1"/>
  <c r="H2881" i="57"/>
  <c r="I2923" i="57" s="1"/>
  <c r="B639" i="57"/>
  <c r="H20" i="32"/>
  <c r="H22" i="32"/>
  <c r="H23" i="32"/>
  <c r="I22" i="32"/>
  <c r="J22" i="32"/>
  <c r="J23" i="32"/>
  <c r="K22" i="32"/>
  <c r="K23" i="32"/>
  <c r="B612" i="57"/>
  <c r="B920" i="57"/>
  <c r="B628" i="57"/>
  <c r="B640" i="57"/>
  <c r="B2982" i="57" s="1"/>
  <c r="B904" i="57"/>
  <c r="F68" i="36"/>
  <c r="AE7" i="31"/>
  <c r="AM7" i="31" s="1"/>
  <c r="I68" i="36"/>
  <c r="AH7" i="31"/>
  <c r="AP7" i="31" s="1"/>
  <c r="C68" i="36"/>
  <c r="AB7" i="31"/>
  <c r="B99" i="35"/>
  <c r="M38" i="31"/>
  <c r="C330" i="34"/>
  <c r="B331" i="34"/>
  <c r="C334" i="34"/>
  <c r="C350" i="34"/>
  <c r="F350" i="34"/>
  <c r="B296" i="34"/>
  <c r="B305" i="34"/>
  <c r="C307" i="34"/>
  <c r="D300" i="34"/>
  <c r="C278" i="34"/>
  <c r="C276" i="34"/>
  <c r="H275" i="34"/>
  <c r="B286" i="34"/>
  <c r="B285" i="34"/>
  <c r="AB6" i="32"/>
  <c r="X6" i="32"/>
  <c r="AF6" i="32" s="1"/>
  <c r="D10" i="39"/>
  <c r="C357" i="39" s="1"/>
  <c r="K18" i="32"/>
  <c r="O6" i="32"/>
  <c r="S6" i="32" s="1"/>
  <c r="W6" i="32" s="1"/>
  <c r="AF26" i="32"/>
  <c r="B335" i="34"/>
  <c r="G1186" i="57"/>
  <c r="D547" i="57"/>
  <c r="D589" i="57" s="1"/>
  <c r="D631" i="57" s="1"/>
  <c r="D531" i="57"/>
  <c r="D573" i="57" s="1"/>
  <c r="D615" i="57" s="1"/>
  <c r="D546" i="57"/>
  <c r="D588" i="57" s="1"/>
  <c r="D630" i="57" s="1"/>
  <c r="D530" i="57"/>
  <c r="D572" i="57" s="1"/>
  <c r="D614" i="57" s="1"/>
  <c r="D544" i="57"/>
  <c r="D586" i="57" s="1"/>
  <c r="D628" i="57" s="1"/>
  <c r="D528" i="57"/>
  <c r="D570" i="57" s="1"/>
  <c r="D612" i="57" s="1"/>
  <c r="D545" i="57"/>
  <c r="D587" i="57" s="1"/>
  <c r="D629" i="57" s="1"/>
  <c r="D537" i="57"/>
  <c r="D579" i="57" s="1"/>
  <c r="D621" i="57" s="1"/>
  <c r="D551" i="57"/>
  <c r="D593" i="57" s="1"/>
  <c r="D635" i="57" s="1"/>
  <c r="D535" i="57"/>
  <c r="D577" i="57" s="1"/>
  <c r="D619" i="57" s="1"/>
  <c r="D534" i="57"/>
  <c r="D576" i="57" s="1"/>
  <c r="D618" i="57" s="1"/>
  <c r="D548" i="57"/>
  <c r="D590" i="57" s="1"/>
  <c r="D632" i="57" s="1"/>
  <c r="D532" i="57"/>
  <c r="D574" i="57" s="1"/>
  <c r="D616" i="57" s="1"/>
  <c r="D549" i="57"/>
  <c r="D591" i="57" s="1"/>
  <c r="D633" i="57" s="1"/>
  <c r="D555" i="57"/>
  <c r="D597" i="57" s="1"/>
  <c r="D639" i="57" s="1"/>
  <c r="D539" i="57"/>
  <c r="D581" i="57" s="1"/>
  <c r="D623" i="57" s="1"/>
  <c r="D554" i="57"/>
  <c r="D596" i="57" s="1"/>
  <c r="D638" i="57" s="1"/>
  <c r="D538" i="57"/>
  <c r="D580" i="57" s="1"/>
  <c r="D622" i="57" s="1"/>
  <c r="D556" i="57"/>
  <c r="D598" i="57" s="1"/>
  <c r="D640" i="57" s="1"/>
  <c r="D552" i="57"/>
  <c r="D594" i="57" s="1"/>
  <c r="D636" i="57" s="1"/>
  <c r="D536" i="57"/>
  <c r="D578" i="57" s="1"/>
  <c r="D620" i="57" s="1"/>
  <c r="D553" i="57"/>
  <c r="D595" i="57" s="1"/>
  <c r="D637" i="57" s="1"/>
  <c r="D529" i="57"/>
  <c r="D571" i="57" s="1"/>
  <c r="D613" i="57" s="1"/>
  <c r="D543" i="57"/>
  <c r="D585" i="57" s="1"/>
  <c r="D627" i="57" s="1"/>
  <c r="D541" i="57"/>
  <c r="D583" i="57" s="1"/>
  <c r="D625" i="57" s="1"/>
  <c r="D559" i="57"/>
  <c r="D601" i="57" s="1"/>
  <c r="D643" i="57" s="1"/>
  <c r="D550" i="57"/>
  <c r="D592" i="57" s="1"/>
  <c r="D634" i="57" s="1"/>
  <c r="D557" i="57"/>
  <c r="D599" i="57" s="1"/>
  <c r="D641" i="57" s="1"/>
  <c r="D560" i="57"/>
  <c r="D602" i="57" s="1"/>
  <c r="D644" i="57" s="1"/>
  <c r="D540" i="57"/>
  <c r="D582" i="57" s="1"/>
  <c r="D624" i="57" s="1"/>
  <c r="D533" i="57"/>
  <c r="D575" i="57" s="1"/>
  <c r="D617" i="57" s="1"/>
  <c r="D558" i="57"/>
  <c r="D600" i="57" s="1"/>
  <c r="D642" i="57" s="1"/>
  <c r="D542" i="57"/>
  <c r="D584" i="57" s="1"/>
  <c r="D626" i="57" s="1"/>
  <c r="H46" i="55"/>
  <c r="G139" i="56"/>
  <c r="I139" i="56"/>
  <c r="J46" i="55"/>
  <c r="J19" i="32"/>
  <c r="E86" i="34"/>
  <c r="E81" i="34"/>
  <c r="E77" i="34"/>
  <c r="E73" i="34"/>
  <c r="E69" i="34"/>
  <c r="E85" i="34"/>
  <c r="E94" i="34"/>
  <c r="E76" i="34"/>
  <c r="E72" i="34"/>
  <c r="E84" i="34"/>
  <c r="F66" i="34"/>
  <c r="E80" i="34"/>
  <c r="E68" i="34"/>
  <c r="E75" i="34"/>
  <c r="E79" i="34"/>
  <c r="AC6" i="32"/>
  <c r="Y6" i="32"/>
  <c r="AG6" i="32" s="1"/>
  <c r="C132" i="34"/>
  <c r="B134" i="34"/>
  <c r="B149" i="35"/>
  <c r="E149" i="35"/>
  <c r="B149" i="36"/>
  <c r="E149" i="36"/>
  <c r="E149" i="34"/>
  <c r="B109" i="41"/>
  <c r="B149" i="38"/>
  <c r="E149" i="38"/>
  <c r="C289" i="34"/>
  <c r="B287" i="34"/>
  <c r="J51" i="51"/>
  <c r="J41" i="51"/>
  <c r="J47" i="51" s="1"/>
  <c r="J48" i="51" s="1"/>
  <c r="B343" i="38" s="1"/>
  <c r="J50" i="51"/>
  <c r="F99" i="34"/>
  <c r="F101" i="34"/>
  <c r="F104" i="34"/>
  <c r="B94" i="36"/>
  <c r="AA33" i="31"/>
  <c r="C123" i="34"/>
  <c r="C125" i="34"/>
  <c r="E78" i="34"/>
  <c r="E83" i="34"/>
  <c r="AD33" i="31"/>
  <c r="AL33" i="31" s="1"/>
  <c r="AF33" i="31"/>
  <c r="AN33" i="31" s="1"/>
  <c r="AH33" i="31"/>
  <c r="AP33" i="31" s="1"/>
  <c r="D99" i="35"/>
  <c r="O38" i="31"/>
  <c r="D68" i="36"/>
  <c r="AC7" i="31"/>
  <c r="C139" i="34"/>
  <c r="C332" i="34"/>
  <c r="C336" i="34"/>
  <c r="K19" i="32"/>
  <c r="D315" i="34"/>
  <c r="D322" i="34"/>
  <c r="B298" i="34"/>
  <c r="D277" i="34"/>
  <c r="H276" i="34"/>
  <c r="C275" i="34"/>
  <c r="C291" i="34"/>
  <c r="C290" i="34"/>
  <c r="I51" i="51"/>
  <c r="I50" i="51"/>
  <c r="I41" i="51"/>
  <c r="I47" i="51" s="1"/>
  <c r="I48" i="51" s="1"/>
  <c r="B343" i="37" s="1"/>
  <c r="F100" i="34"/>
  <c r="F103" i="34"/>
  <c r="E70" i="34"/>
  <c r="E82" i="34"/>
  <c r="E87" i="34"/>
  <c r="E102" i="34"/>
  <c r="E100" i="34"/>
  <c r="E104" i="34"/>
  <c r="E99" i="34"/>
  <c r="AD6" i="32"/>
  <c r="Z6" i="32"/>
  <c r="AH6" i="32" s="1"/>
  <c r="D6" i="39"/>
  <c r="C17" i="39" s="1"/>
  <c r="G18" i="32"/>
  <c r="D26" i="32"/>
  <c r="C94" i="36"/>
  <c r="AB33" i="31"/>
  <c r="AJ33" i="31" s="1"/>
  <c r="C94" i="38" s="1"/>
  <c r="E99" i="36"/>
  <c r="U38" i="31"/>
  <c r="Z38" i="31" s="1"/>
  <c r="E99" i="38" s="1"/>
  <c r="D86" i="34"/>
  <c r="D87" i="34"/>
  <c r="D79" i="34"/>
  <c r="D76" i="34"/>
  <c r="D73" i="34"/>
  <c r="D80" i="34"/>
  <c r="D78" i="34"/>
  <c r="D75" i="34"/>
  <c r="D69" i="34"/>
  <c r="D81" i="34"/>
  <c r="D84" i="34"/>
  <c r="D68" i="34"/>
  <c r="D82" i="34"/>
  <c r="D85" i="34"/>
  <c r="D72" i="34"/>
  <c r="D74" i="34"/>
  <c r="D71" i="34"/>
  <c r="E68" i="36"/>
  <c r="AD7" i="31"/>
  <c r="AL7" i="31" s="1"/>
  <c r="C128" i="34"/>
  <c r="B130" i="34"/>
  <c r="C136" i="34"/>
  <c r="B138" i="34"/>
  <c r="K21" i="32"/>
  <c r="B284" i="34"/>
  <c r="H51" i="51"/>
  <c r="H50" i="51"/>
  <c r="C99" i="34"/>
  <c r="C101" i="34"/>
  <c r="S7" i="31"/>
  <c r="AC33" i="31"/>
  <c r="N38" i="31"/>
  <c r="Q38" i="31"/>
  <c r="V38" i="31" s="1"/>
  <c r="AA38" i="31" s="1"/>
  <c r="AF7" i="31"/>
  <c r="AN7" i="31" s="1"/>
  <c r="B123" i="34"/>
  <c r="B128" i="34"/>
  <c r="B132" i="34"/>
  <c r="B136" i="34"/>
  <c r="C329" i="34"/>
  <c r="C331" i="34"/>
  <c r="C333" i="34"/>
  <c r="C335" i="34"/>
  <c r="C337" i="34"/>
  <c r="G350" i="34"/>
  <c r="C305" i="34"/>
  <c r="B306" i="34"/>
  <c r="D308" i="34"/>
  <c r="C81" i="37"/>
  <c r="AJ20" i="31"/>
  <c r="C81" i="38" s="1"/>
  <c r="B77" i="37"/>
  <c r="AI16" i="31"/>
  <c r="B77" i="38" s="1"/>
  <c r="X40" i="31"/>
  <c r="C101" i="38" s="1"/>
  <c r="C101" i="37"/>
  <c r="D104" i="34"/>
  <c r="D101" i="34"/>
  <c r="D102" i="34"/>
  <c r="C94" i="34"/>
  <c r="C68" i="34"/>
  <c r="C70" i="34"/>
  <c r="C72" i="34"/>
  <c r="C74" i="34"/>
  <c r="C76" i="34"/>
  <c r="C78" i="34"/>
  <c r="C80" i="34"/>
  <c r="B73" i="36"/>
  <c r="AA12" i="31"/>
  <c r="AE12" i="31"/>
  <c r="AM12" i="31" s="1"/>
  <c r="F73" i="36"/>
  <c r="C102" i="36"/>
  <c r="S41" i="31"/>
  <c r="AL26" i="31"/>
  <c r="E87" i="37"/>
  <c r="C80" i="37"/>
  <c r="AJ19" i="31"/>
  <c r="C80" i="38" s="1"/>
  <c r="AD19" i="31"/>
  <c r="AL19" i="31" s="1"/>
  <c r="E80" i="36"/>
  <c r="AD14" i="31"/>
  <c r="AL14" i="31" s="1"/>
  <c r="E75" i="36"/>
  <c r="AK13" i="31"/>
  <c r="D74" i="37"/>
  <c r="S42" i="31"/>
  <c r="C103" i="36"/>
  <c r="Y41" i="31"/>
  <c r="D102" i="37"/>
  <c r="AD9" i="31"/>
  <c r="AL9" i="31" s="1"/>
  <c r="E70" i="36"/>
  <c r="H87" i="36"/>
  <c r="AG26" i="31"/>
  <c r="AO26" i="31" s="1"/>
  <c r="B81" i="37"/>
  <c r="AI20" i="31"/>
  <c r="B81" i="38" s="1"/>
  <c r="B80" i="37"/>
  <c r="AI19" i="31"/>
  <c r="B80" i="38" s="1"/>
  <c r="H80" i="36"/>
  <c r="AG19" i="31"/>
  <c r="AO19" i="31" s="1"/>
  <c r="B78" i="36"/>
  <c r="AA17" i="31"/>
  <c r="AC14" i="31"/>
  <c r="D75" i="36"/>
  <c r="D86" i="36"/>
  <c r="F104" i="35"/>
  <c r="F102" i="35"/>
  <c r="F100" i="35"/>
  <c r="F101" i="35"/>
  <c r="AD25" i="31"/>
  <c r="AL25" i="31" s="1"/>
  <c r="E86" i="36"/>
  <c r="AJ21" i="31"/>
  <c r="C82" i="38" s="1"/>
  <c r="B82" i="37"/>
  <c r="AI21" i="31"/>
  <c r="B82" i="38" s="1"/>
  <c r="AK19" i="31"/>
  <c r="T43" i="31"/>
  <c r="D104" i="36"/>
  <c r="B100" i="37"/>
  <c r="W39" i="31"/>
  <c r="B100" i="38" s="1"/>
  <c r="D80" i="36"/>
  <c r="E84" i="37"/>
  <c r="E80" i="37"/>
  <c r="E76" i="37"/>
  <c r="E72" i="37"/>
  <c r="E68" i="37"/>
  <c r="F66" i="37"/>
  <c r="E86" i="37"/>
  <c r="E70" i="37"/>
  <c r="E85" i="37"/>
  <c r="E79" i="37"/>
  <c r="E74" i="37"/>
  <c r="E69" i="37"/>
  <c r="E99" i="35"/>
  <c r="E103" i="35"/>
  <c r="E101" i="35"/>
  <c r="E104" i="35"/>
  <c r="D50" i="51"/>
  <c r="D86" i="37"/>
  <c r="AK25" i="31"/>
  <c r="D86" i="38" s="1"/>
  <c r="AE22" i="31"/>
  <c r="AM22" i="31" s="1"/>
  <c r="F83" i="36"/>
  <c r="AD16" i="31"/>
  <c r="E77" i="36"/>
  <c r="AC16" i="31"/>
  <c r="D77" i="36"/>
  <c r="B104" i="36"/>
  <c r="R43" i="31"/>
  <c r="B101" i="36"/>
  <c r="R40" i="31"/>
  <c r="E101" i="36"/>
  <c r="E103" i="36"/>
  <c r="F97" i="36"/>
  <c r="E104" i="36"/>
  <c r="E100" i="36"/>
  <c r="F97" i="38"/>
  <c r="E104" i="38"/>
  <c r="E102" i="38"/>
  <c r="E100" i="38"/>
  <c r="C699" i="57"/>
  <c r="D698" i="57"/>
  <c r="E66" i="38"/>
  <c r="D72" i="38"/>
  <c r="D73" i="38"/>
  <c r="D84" i="38"/>
  <c r="D80" i="38"/>
  <c r="D79" i="38"/>
  <c r="D76" i="38"/>
  <c r="D74" i="38"/>
  <c r="D85" i="38"/>
  <c r="AD20" i="31"/>
  <c r="AL20" i="31" s="1"/>
  <c r="E81" i="36"/>
  <c r="AD12" i="31"/>
  <c r="E73" i="36"/>
  <c r="AC9" i="31"/>
  <c r="D70" i="36"/>
  <c r="B103" i="36"/>
  <c r="R42" i="31"/>
  <c r="C75" i="37"/>
  <c r="D102" i="38"/>
  <c r="AJ25" i="31"/>
  <c r="C86" i="38" s="1"/>
  <c r="B86" i="37"/>
  <c r="AI25" i="31"/>
  <c r="B86" i="38" s="1"/>
  <c r="D83" i="36"/>
  <c r="AC22" i="31"/>
  <c r="D81" i="36"/>
  <c r="AC20" i="31"/>
  <c r="B75" i="37"/>
  <c r="AI14" i="31"/>
  <c r="B75" i="38" s="1"/>
  <c r="AJ12" i="31"/>
  <c r="C73" i="38" s="1"/>
  <c r="B102" i="36"/>
  <c r="R41" i="31"/>
  <c r="F86" i="36"/>
  <c r="F82" i="36"/>
  <c r="F78" i="36"/>
  <c r="F74" i="36"/>
  <c r="F70" i="36"/>
  <c r="E97" i="37"/>
  <c r="D103" i="37"/>
  <c r="AI26" i="31"/>
  <c r="B87" i="38" s="1"/>
  <c r="AI13" i="31"/>
  <c r="B74" i="38" s="1"/>
  <c r="C104" i="38"/>
  <c r="D66" i="35"/>
  <c r="C94" i="35"/>
  <c r="C104" i="36"/>
  <c r="C104" i="37"/>
  <c r="I91" i="56"/>
  <c r="J31" i="55"/>
  <c r="C101" i="35"/>
  <c r="F2356" i="57"/>
  <c r="F2399" i="57" s="1"/>
  <c r="E2356" i="57"/>
  <c r="E2399" i="57" s="1"/>
  <c r="J2356" i="57"/>
  <c r="J2399" i="57" s="1"/>
  <c r="G1291" i="57"/>
  <c r="B1451" i="57"/>
  <c r="E4118" i="57"/>
  <c r="E1152" i="57"/>
  <c r="F4387" i="57"/>
  <c r="J1152" i="57"/>
  <c r="H1269" i="57" s="1"/>
  <c r="C1152" i="57"/>
  <c r="G1152" i="57" s="1"/>
  <c r="E1269" i="57" s="1"/>
  <c r="H4387" i="57"/>
  <c r="F1152" i="57"/>
  <c r="D1269" i="57" s="1"/>
  <c r="D4387" i="57"/>
  <c r="I1152" i="57"/>
  <c r="G1269" i="57" s="1"/>
  <c r="H1152" i="57"/>
  <c r="F1269" i="57" s="1"/>
  <c r="G4387" i="57"/>
  <c r="D1152" i="57"/>
  <c r="D2122" i="57"/>
  <c r="AC2132" i="57" s="1"/>
  <c r="F2104" i="57"/>
  <c r="B2122" i="57" s="1"/>
  <c r="AA2132" i="57" s="1"/>
  <c r="K3593" i="57"/>
  <c r="D931" i="57"/>
  <c r="G104" i="56"/>
  <c r="H63" i="55"/>
  <c r="N59" i="56"/>
  <c r="E72" i="55"/>
  <c r="G59" i="56"/>
  <c r="H72" i="55"/>
  <c r="E67" i="55"/>
  <c r="N39" i="56"/>
  <c r="G1966" i="57"/>
  <c r="G2250" i="57" s="1"/>
  <c r="F2355" i="57"/>
  <c r="F2398" i="57" s="1"/>
  <c r="C1187" i="57"/>
  <c r="H1187" i="57"/>
  <c r="F1279" i="57" s="1"/>
  <c r="F1187" i="57"/>
  <c r="D1279" i="57" s="1"/>
  <c r="D3898" i="57" s="1"/>
  <c r="C4048" i="57" s="1"/>
  <c r="E1187" i="57"/>
  <c r="C1279" i="57" s="1"/>
  <c r="C3898" i="57" s="1"/>
  <c r="C4015" i="57" s="1"/>
  <c r="D1187" i="57"/>
  <c r="E1162" i="57"/>
  <c r="C1272" i="57" s="1"/>
  <c r="C3891" i="57" s="1"/>
  <c r="C4008" i="57" s="1"/>
  <c r="F4397" i="57"/>
  <c r="C1162" i="57"/>
  <c r="G1162" i="57" s="1"/>
  <c r="E1272" i="57" s="1"/>
  <c r="C3265" i="57" s="1"/>
  <c r="H4397" i="57"/>
  <c r="J1162" i="57"/>
  <c r="H1272" i="57" s="1"/>
  <c r="D4397" i="57"/>
  <c r="F1162" i="57"/>
  <c r="D1272" i="57" s="1"/>
  <c r="D3891" i="57" s="1"/>
  <c r="C4041" i="57" s="1"/>
  <c r="H1162" i="57"/>
  <c r="F1272" i="57" s="1"/>
  <c r="F1184" i="57"/>
  <c r="D1278" i="57" s="1"/>
  <c r="D3897" i="57" s="1"/>
  <c r="C4047" i="57" s="1"/>
  <c r="G4419" i="57"/>
  <c r="C1184" i="57"/>
  <c r="G1184" i="57" s="1"/>
  <c r="E1278" i="57" s="1"/>
  <c r="C3270" i="57" s="1"/>
  <c r="F4419" i="57"/>
  <c r="D1184" i="57"/>
  <c r="J1184" i="57"/>
  <c r="H1278" i="57" s="1"/>
  <c r="H1184" i="57"/>
  <c r="F1278" i="57" s="1"/>
  <c r="D4453" i="57"/>
  <c r="F1218" i="57"/>
  <c r="D1287" i="57" s="1"/>
  <c r="G4453" i="57"/>
  <c r="E1218" i="57"/>
  <c r="C1287" i="57" s="1"/>
  <c r="F4453" i="57"/>
  <c r="C4453" i="57"/>
  <c r="I1218" i="57"/>
  <c r="G1287" i="57" s="1"/>
  <c r="D1151" i="57"/>
  <c r="E1151" i="57"/>
  <c r="C1188" i="57"/>
  <c r="J1188" i="57"/>
  <c r="H1279" i="57" s="1"/>
  <c r="D1188" i="57"/>
  <c r="D1208" i="57"/>
  <c r="B1285" i="57" s="1"/>
  <c r="B3904" i="57" s="1"/>
  <c r="C3988" i="57" s="1"/>
  <c r="H4443" i="57"/>
  <c r="I1208" i="57"/>
  <c r="G1285" i="57" s="1"/>
  <c r="J1208" i="57"/>
  <c r="D4443" i="57"/>
  <c r="E1208" i="57"/>
  <c r="C1285" i="57" s="1"/>
  <c r="C3904" i="57" s="1"/>
  <c r="C4021" i="57" s="1"/>
  <c r="F1208" i="57"/>
  <c r="D1285" i="57" s="1"/>
  <c r="D3904" i="57" s="1"/>
  <c r="C4054" i="57" s="1"/>
  <c r="G4443" i="57"/>
  <c r="H1208" i="57"/>
  <c r="F1285" i="57" s="1"/>
  <c r="G630" i="57"/>
  <c r="G614" i="57"/>
  <c r="G629" i="57"/>
  <c r="G613" i="57"/>
  <c r="G615" i="57"/>
  <c r="G636" i="57"/>
  <c r="G627" i="57"/>
  <c r="G626" i="57"/>
  <c r="G641" i="57"/>
  <c r="G625" i="57"/>
  <c r="G624" i="57"/>
  <c r="G628" i="57"/>
  <c r="G632" i="57"/>
  <c r="G619" i="57"/>
  <c r="G638" i="57"/>
  <c r="G637" i="57"/>
  <c r="G621" i="57"/>
  <c r="G631" i="57"/>
  <c r="G620" i="57"/>
  <c r="F59" i="56"/>
  <c r="G72" i="55"/>
  <c r="D2118" i="57"/>
  <c r="M2132" i="57" s="1"/>
  <c r="AJ1582" i="57"/>
  <c r="AJ1600" i="57" s="1"/>
  <c r="AJ1885" i="57" s="1"/>
  <c r="C2106" i="57"/>
  <c r="C160" i="56"/>
  <c r="B697" i="57"/>
  <c r="B711" i="57"/>
  <c r="B727" i="57" s="1"/>
  <c r="K3575" i="57"/>
  <c r="D913" i="57"/>
  <c r="B3895" i="57"/>
  <c r="C3979" i="57" s="1"/>
  <c r="C3895" i="57"/>
  <c r="C4012" i="57" s="1"/>
  <c r="D3895" i="57"/>
  <c r="C4045" i="57" s="1"/>
  <c r="B2962" i="57"/>
  <c r="B3134" i="57" s="1"/>
  <c r="C3905" i="57"/>
  <c r="C4022" i="57" s="1"/>
  <c r="B2972" i="57"/>
  <c r="B3144" i="57" s="1"/>
  <c r="B3905" i="57"/>
  <c r="C3989" i="57" s="1"/>
  <c r="C2121" i="57"/>
  <c r="X2132" i="57" s="1"/>
  <c r="F2103" i="57"/>
  <c r="B2121" i="57" s="1"/>
  <c r="W2132" i="57" s="1"/>
  <c r="B615" i="57"/>
  <c r="C615" i="57"/>
  <c r="C631" i="57"/>
  <c r="C1299" i="57"/>
  <c r="D1225" i="57"/>
  <c r="B1289" i="57" s="1"/>
  <c r="C4460" i="57"/>
  <c r="E1225" i="57"/>
  <c r="C1289" i="57" s="1"/>
  <c r="D2123" i="57"/>
  <c r="AG2132" i="57" s="1"/>
  <c r="F2105" i="57"/>
  <c r="B2123" i="57" s="1"/>
  <c r="AE2132" i="57" s="1"/>
  <c r="G1582" i="57"/>
  <c r="B2099" i="57"/>
  <c r="I644" i="57"/>
  <c r="I628" i="57"/>
  <c r="I612" i="57"/>
  <c r="I631" i="57"/>
  <c r="I615" i="57"/>
  <c r="I613" i="57"/>
  <c r="I634" i="57"/>
  <c r="I630" i="57"/>
  <c r="I617" i="57"/>
  <c r="I640" i="57"/>
  <c r="I624" i="57"/>
  <c r="I643" i="57"/>
  <c r="I627" i="57"/>
  <c r="I637" i="57"/>
  <c r="I622" i="57"/>
  <c r="I626" i="57"/>
  <c r="I641" i="57"/>
  <c r="I636" i="57"/>
  <c r="I620" i="57"/>
  <c r="I639" i="57"/>
  <c r="I623" i="57"/>
  <c r="I629" i="57"/>
  <c r="I614" i="57"/>
  <c r="I618" i="57"/>
  <c r="I633" i="57"/>
  <c r="B160" i="56"/>
  <c r="J59" i="56"/>
  <c r="L59" i="56"/>
  <c r="J99" i="56"/>
  <c r="L99" i="56"/>
  <c r="L144" i="56"/>
  <c r="J144" i="56"/>
  <c r="J1209" i="57"/>
  <c r="D3888" i="57"/>
  <c r="C4038" i="57" s="1"/>
  <c r="C1235" i="57"/>
  <c r="J1235" i="57"/>
  <c r="H1293" i="57" s="1"/>
  <c r="J58" i="56"/>
  <c r="L58" i="56"/>
  <c r="D903" i="57" l="1"/>
  <c r="Q1600" i="57"/>
  <c r="Q1885" i="57" s="1"/>
  <c r="AA1600" i="57"/>
  <c r="AA1885" i="57" s="1"/>
  <c r="D932" i="57"/>
  <c r="AC1598" i="57"/>
  <c r="AC1704" i="57" s="1"/>
  <c r="D929" i="57"/>
  <c r="C1268" i="57"/>
  <c r="D1286" i="57"/>
  <c r="D3905" i="57" s="1"/>
  <c r="C4055" i="57" s="1"/>
  <c r="K3585" i="57"/>
  <c r="D923" i="57"/>
  <c r="I1963" i="57"/>
  <c r="I2247" i="57" s="1"/>
  <c r="I1944" i="57"/>
  <c r="I2227" i="57" s="1"/>
  <c r="I1920" i="57"/>
  <c r="I2202" i="57" s="1"/>
  <c r="C3903" i="57"/>
  <c r="C4020" i="57" s="1"/>
  <c r="B1445" i="57"/>
  <c r="C3899" i="57"/>
  <c r="C4016" i="57" s="1"/>
  <c r="B1441" i="57"/>
  <c r="H61" i="56"/>
  <c r="I22" i="55"/>
  <c r="J22" i="55"/>
  <c r="I61" i="56"/>
  <c r="G46" i="56"/>
  <c r="H51" i="55"/>
  <c r="B2100" i="57"/>
  <c r="K1582" i="57"/>
  <c r="H111" i="56"/>
  <c r="I36" i="55"/>
  <c r="N97" i="56"/>
  <c r="E81" i="55"/>
  <c r="N107" i="56"/>
  <c r="E35" i="55"/>
  <c r="B3268" i="57"/>
  <c r="B1498" i="57"/>
  <c r="E1498" i="57" s="1"/>
  <c r="B1542" i="57" s="1"/>
  <c r="C1542" i="57" s="1"/>
  <c r="F2501" i="57"/>
  <c r="F2518" i="57" s="1"/>
  <c r="H2501" i="57"/>
  <c r="H2518" i="57" s="1"/>
  <c r="J2501" i="57"/>
  <c r="J2518" i="57" s="1"/>
  <c r="B2334" i="57"/>
  <c r="H2334" i="57"/>
  <c r="B2501" i="57"/>
  <c r="B2518" i="57" s="1"/>
  <c r="C1498" i="57"/>
  <c r="F2334" i="57"/>
  <c r="J2334" i="57"/>
  <c r="H33" i="55"/>
  <c r="G99" i="56"/>
  <c r="E4433" i="57"/>
  <c r="G1198" i="57"/>
  <c r="E1282" i="57" s="1"/>
  <c r="G118" i="56"/>
  <c r="H38" i="55"/>
  <c r="I38" i="55"/>
  <c r="H118" i="56"/>
  <c r="AG1610" i="57"/>
  <c r="AG1895" i="57" s="1"/>
  <c r="M1608" i="57"/>
  <c r="M1893" i="57" s="1"/>
  <c r="M1611" i="57"/>
  <c r="M1896" i="57" s="1"/>
  <c r="M1610" i="57"/>
  <c r="M1895" i="57" s="1"/>
  <c r="AC1609" i="57"/>
  <c r="AC1894" i="57" s="1"/>
  <c r="N111" i="56"/>
  <c r="E36" i="55"/>
  <c r="G97" i="56"/>
  <c r="H81" i="55"/>
  <c r="J75" i="55"/>
  <c r="I75" i="56"/>
  <c r="O62" i="56"/>
  <c r="F55" i="55"/>
  <c r="H62" i="56"/>
  <c r="I55" i="55"/>
  <c r="H54" i="56"/>
  <c r="I53" i="55"/>
  <c r="E4443" i="57"/>
  <c r="G1208" i="57"/>
  <c r="E1285" i="57" s="1"/>
  <c r="G89" i="56"/>
  <c r="H79" i="55"/>
  <c r="I89" i="56"/>
  <c r="J79" i="55"/>
  <c r="J38" i="55"/>
  <c r="I118" i="56"/>
  <c r="AC1607" i="57"/>
  <c r="AC1892" i="57" s="1"/>
  <c r="M1609" i="57"/>
  <c r="M1894" i="57" s="1"/>
  <c r="M1607" i="57"/>
  <c r="M1892" i="57" s="1"/>
  <c r="H46" i="56"/>
  <c r="I51" i="55"/>
  <c r="AC1611" i="57"/>
  <c r="AC1896" i="57" s="1"/>
  <c r="AC1608" i="57"/>
  <c r="AC1893" i="57" s="1"/>
  <c r="I111" i="56"/>
  <c r="J36" i="55"/>
  <c r="J81" i="55"/>
  <c r="I97" i="56"/>
  <c r="O107" i="56"/>
  <c r="F35" i="55"/>
  <c r="I104" i="56"/>
  <c r="J63" i="55"/>
  <c r="N99" i="56"/>
  <c r="E33" i="55"/>
  <c r="H89" i="56"/>
  <c r="I79" i="55"/>
  <c r="AG1612" i="57"/>
  <c r="AG1897" i="57" s="1"/>
  <c r="AG1608" i="57"/>
  <c r="AG1893" i="57" s="1"/>
  <c r="AC1610" i="57"/>
  <c r="AC1895" i="57" s="1"/>
  <c r="AG1595" i="57"/>
  <c r="AG1703" i="57" s="1"/>
  <c r="I1722" i="57" s="1"/>
  <c r="AG1598" i="57"/>
  <c r="AG1704" i="57" s="1"/>
  <c r="M1612" i="57"/>
  <c r="M1897" i="57" s="1"/>
  <c r="G61" i="56"/>
  <c r="H22" i="55"/>
  <c r="E4390" i="57"/>
  <c r="G1155" i="57"/>
  <c r="E1270" i="57" s="1"/>
  <c r="C2100" i="57"/>
  <c r="L1582" i="57"/>
  <c r="AB1612" i="57"/>
  <c r="AB1897" i="57" s="1"/>
  <c r="AB1608" i="57"/>
  <c r="AB1893" i="57" s="1"/>
  <c r="AB1610" i="57"/>
  <c r="AB1895" i="57" s="1"/>
  <c r="AB1598" i="57"/>
  <c r="AB1704" i="57" s="1"/>
  <c r="AB1595" i="57"/>
  <c r="AB1703" i="57" s="1"/>
  <c r="AB1611" i="57"/>
  <c r="AB1896" i="57" s="1"/>
  <c r="AB1607" i="57"/>
  <c r="AB1892" i="57" s="1"/>
  <c r="AB1609" i="57"/>
  <c r="AB1894" i="57" s="1"/>
  <c r="I89" i="55"/>
  <c r="H132" i="56"/>
  <c r="G132" i="56"/>
  <c r="H89" i="55"/>
  <c r="F36" i="55"/>
  <c r="O111" i="56"/>
  <c r="I81" i="55"/>
  <c r="H97" i="56"/>
  <c r="H107" i="56"/>
  <c r="I35" i="55"/>
  <c r="H55" i="55"/>
  <c r="G62" i="56"/>
  <c r="I54" i="56"/>
  <c r="J53" i="55"/>
  <c r="O54" i="56"/>
  <c r="F53" i="55"/>
  <c r="F79" i="55"/>
  <c r="O89" i="56"/>
  <c r="O118" i="56"/>
  <c r="F38" i="55"/>
  <c r="AC1595" i="57"/>
  <c r="AC1703" i="57" s="1"/>
  <c r="AG1611" i="57"/>
  <c r="AG1896" i="57" s="1"/>
  <c r="AG1609" i="57"/>
  <c r="AG1894" i="57" s="1"/>
  <c r="E2483" i="57"/>
  <c r="E2523" i="57" s="1"/>
  <c r="D916" i="57"/>
  <c r="E1937" i="57"/>
  <c r="E2219" i="57" s="1"/>
  <c r="I1723" i="57"/>
  <c r="E1913" i="57"/>
  <c r="E2190" i="57" s="1"/>
  <c r="E2099" i="57"/>
  <c r="B1278" i="57"/>
  <c r="B3897" i="57" s="1"/>
  <c r="C3981" i="57" s="1"/>
  <c r="AA1601" i="57"/>
  <c r="AA1886" i="57" s="1"/>
  <c r="D912" i="57"/>
  <c r="B1269" i="57"/>
  <c r="B3888" i="57" s="1"/>
  <c r="C3972" i="57" s="1"/>
  <c r="I2483" i="57"/>
  <c r="I2523" i="57" s="1"/>
  <c r="D911" i="57"/>
  <c r="B1432" i="57"/>
  <c r="F2483" i="57"/>
  <c r="F2523" i="57" s="1"/>
  <c r="B3900" i="57"/>
  <c r="C3984" i="57" s="1"/>
  <c r="B1442" i="57"/>
  <c r="B3896" i="57"/>
  <c r="C3980" i="57" s="1"/>
  <c r="B1438" i="57"/>
  <c r="C1517" i="57" s="1"/>
  <c r="C1749" i="57" s="1"/>
  <c r="G1963" i="57"/>
  <c r="G2247" i="57" s="1"/>
  <c r="D926" i="57"/>
  <c r="K3574" i="57"/>
  <c r="D1582" i="57"/>
  <c r="C2098" i="57"/>
  <c r="D928" i="57"/>
  <c r="K3590" i="57"/>
  <c r="D922" i="57"/>
  <c r="K3584" i="57"/>
  <c r="N126" i="56"/>
  <c r="E41" i="55"/>
  <c r="G71" i="56"/>
  <c r="H74" i="55"/>
  <c r="I19" i="55"/>
  <c r="H49" i="56"/>
  <c r="O39" i="56"/>
  <c r="F67" i="55"/>
  <c r="H49" i="55"/>
  <c r="G38" i="56"/>
  <c r="H116" i="56"/>
  <c r="I86" i="55"/>
  <c r="G1920" i="57"/>
  <c r="G2202" i="57" s="1"/>
  <c r="J2483" i="57"/>
  <c r="J2523" i="57" s="1"/>
  <c r="B2483" i="57"/>
  <c r="B2523" i="57" s="1"/>
  <c r="H2483" i="57"/>
  <c r="H2523" i="57" s="1"/>
  <c r="S1582" i="57"/>
  <c r="B2102" i="57"/>
  <c r="E1582" i="57"/>
  <c r="D2098" i="57"/>
  <c r="D2116" i="57" s="1"/>
  <c r="E2132" i="57" s="1"/>
  <c r="D927" i="57"/>
  <c r="K3589" i="57"/>
  <c r="K3572" i="57"/>
  <c r="D910" i="57"/>
  <c r="D917" i="57"/>
  <c r="Q1607" i="57"/>
  <c r="Q1892" i="57" s="1"/>
  <c r="Q1595" i="57"/>
  <c r="Q1703" i="57" s="1"/>
  <c r="Q1609" i="57"/>
  <c r="Q1894" i="57" s="1"/>
  <c r="E1922" i="57" s="1"/>
  <c r="E2204" i="57" s="1"/>
  <c r="Q1611" i="57"/>
  <c r="Q1896" i="57" s="1"/>
  <c r="Q1612" i="57"/>
  <c r="Q1897" i="57" s="1"/>
  <c r="E1968" i="57" s="1"/>
  <c r="E2252" i="57" s="1"/>
  <c r="Q1608" i="57"/>
  <c r="Q1893" i="57" s="1"/>
  <c r="E1964" i="57" s="1"/>
  <c r="E2248" i="57" s="1"/>
  <c r="Q1610" i="57"/>
  <c r="Q1895" i="57" s="1"/>
  <c r="E49" i="55"/>
  <c r="N38" i="56"/>
  <c r="E4121" i="57"/>
  <c r="B1454" i="57"/>
  <c r="C2351" i="57" s="1"/>
  <c r="C2394" i="57" s="1"/>
  <c r="G126" i="56"/>
  <c r="H41" i="55"/>
  <c r="J83" i="55"/>
  <c r="I105" i="56"/>
  <c r="I67" i="55"/>
  <c r="H39" i="56"/>
  <c r="J2482" i="57"/>
  <c r="J2522" i="57" s="1"/>
  <c r="F2482" i="57"/>
  <c r="F2522" i="57" s="1"/>
  <c r="E2482" i="57"/>
  <c r="E2522" i="57" s="1"/>
  <c r="H2482" i="57"/>
  <c r="H2522" i="57" s="1"/>
  <c r="O38" i="56"/>
  <c r="F49" i="55"/>
  <c r="B2106" i="57"/>
  <c r="E2106" i="57" s="1"/>
  <c r="AI1582" i="57"/>
  <c r="D2102" i="57"/>
  <c r="D2120" i="57" s="1"/>
  <c r="U2132" i="57" s="1"/>
  <c r="U1582" i="57"/>
  <c r="C1582" i="57"/>
  <c r="B2098" i="57"/>
  <c r="K3564" i="57"/>
  <c r="D902" i="57"/>
  <c r="H105" i="56"/>
  <c r="I83" i="55"/>
  <c r="F19" i="55"/>
  <c r="O49" i="56"/>
  <c r="I49" i="56"/>
  <c r="J19" i="55"/>
  <c r="O116" i="56"/>
  <c r="F86" i="55"/>
  <c r="H1608" i="57"/>
  <c r="H1893" i="57" s="1"/>
  <c r="H1609" i="57"/>
  <c r="H1894" i="57" s="1"/>
  <c r="H1612" i="57"/>
  <c r="H1897" i="57" s="1"/>
  <c r="H1610" i="57"/>
  <c r="H1895" i="57" s="1"/>
  <c r="H1595" i="57"/>
  <c r="H1703" i="57" s="1"/>
  <c r="H1598" i="57"/>
  <c r="H1704" i="57" s="1"/>
  <c r="H1611" i="57"/>
  <c r="H1896" i="57" s="1"/>
  <c r="H1607" i="57"/>
  <c r="H1892" i="57" s="1"/>
  <c r="AA1598" i="57"/>
  <c r="AA1704" i="57" s="1"/>
  <c r="H1723" i="57" s="1"/>
  <c r="AA1607" i="57"/>
  <c r="AA1892" i="57" s="1"/>
  <c r="AA1595" i="57"/>
  <c r="AA1703" i="57" s="1"/>
  <c r="H1722" i="57" s="1"/>
  <c r="AA1608" i="57"/>
  <c r="AA1893" i="57" s="1"/>
  <c r="AA1610" i="57"/>
  <c r="AA1895" i="57" s="1"/>
  <c r="AA1611" i="57"/>
  <c r="AA1896" i="57" s="1"/>
  <c r="AA1609" i="57"/>
  <c r="AA1894" i="57" s="1"/>
  <c r="AA1612" i="57"/>
  <c r="AA1897" i="57" s="1"/>
  <c r="AK1582" i="57"/>
  <c r="D2106" i="57"/>
  <c r="D2124" i="57" s="1"/>
  <c r="AK2132" i="57" s="1"/>
  <c r="C2102" i="57"/>
  <c r="T1582" i="57"/>
  <c r="K3570" i="57"/>
  <c r="D908" i="57"/>
  <c r="Q1598" i="57"/>
  <c r="Q1704" i="57" s="1"/>
  <c r="E1723" i="57" s="1"/>
  <c r="H126" i="56"/>
  <c r="I41" i="55"/>
  <c r="J74" i="55"/>
  <c r="I71" i="56"/>
  <c r="G39" i="56"/>
  <c r="H67" i="55"/>
  <c r="C2500" i="57"/>
  <c r="C2517" i="57" s="1"/>
  <c r="C2333" i="57"/>
  <c r="C1269" i="57"/>
  <c r="C3888" i="57" s="1"/>
  <c r="C4005" i="57" s="1"/>
  <c r="C2334" i="57"/>
  <c r="C2501" i="57"/>
  <c r="C2518" i="57" s="1"/>
  <c r="I2497" i="57"/>
  <c r="I2514" i="57" s="1"/>
  <c r="K3563" i="57"/>
  <c r="D901" i="57"/>
  <c r="I2333" i="57"/>
  <c r="I2500" i="57"/>
  <c r="I2517" i="57" s="1"/>
  <c r="E2502" i="57"/>
  <c r="E2519" i="57" s="1"/>
  <c r="L3595" i="57"/>
  <c r="D933" i="57"/>
  <c r="D905" i="57"/>
  <c r="K3567" i="57"/>
  <c r="H2355" i="57"/>
  <c r="H2398" i="57" s="1"/>
  <c r="C2355" i="57"/>
  <c r="C2398" i="57" s="1"/>
  <c r="E2355" i="57"/>
  <c r="E2398" i="57" s="1"/>
  <c r="J2355" i="57"/>
  <c r="J2398" i="57" s="1"/>
  <c r="B2355" i="57"/>
  <c r="B2398" i="57" s="1"/>
  <c r="B1443" i="57"/>
  <c r="E2340" i="57" s="1"/>
  <c r="D3901" i="57"/>
  <c r="C4051" i="57" s="1"/>
  <c r="B2986" i="57"/>
  <c r="B2356" i="57"/>
  <c r="B2399" i="57" s="1"/>
  <c r="H2356" i="57"/>
  <c r="H2399" i="57" s="1"/>
  <c r="I2356" i="57"/>
  <c r="I2399" i="57" s="1"/>
  <c r="E1924" i="57"/>
  <c r="E2206" i="57" s="1"/>
  <c r="E2314" i="57" s="1"/>
  <c r="E2400" i="57" s="1"/>
  <c r="E1967" i="57"/>
  <c r="E2251" i="57" s="1"/>
  <c r="E1948" i="57"/>
  <c r="E2231" i="57" s="1"/>
  <c r="G1965" i="57"/>
  <c r="G2249" i="57" s="1"/>
  <c r="G1946" i="57"/>
  <c r="G2229" i="57" s="1"/>
  <c r="G1922" i="57"/>
  <c r="G2204" i="57" s="1"/>
  <c r="G1921" i="57"/>
  <c r="G2203" i="57" s="1"/>
  <c r="G1964" i="57"/>
  <c r="G2248" i="57" s="1"/>
  <c r="G1945" i="57"/>
  <c r="G2228" i="57" s="1"/>
  <c r="G2311" i="57" s="1"/>
  <c r="G2393" i="57" s="1"/>
  <c r="H1937" i="57"/>
  <c r="H2219" i="57" s="1"/>
  <c r="H1913" i="57"/>
  <c r="H2190" i="57" s="1"/>
  <c r="G1611" i="57"/>
  <c r="G1896" i="57" s="1"/>
  <c r="G1595" i="57"/>
  <c r="G1703" i="57" s="1"/>
  <c r="G1608" i="57"/>
  <c r="G1893" i="57" s="1"/>
  <c r="G1612" i="57"/>
  <c r="G1897" i="57" s="1"/>
  <c r="G1610" i="57"/>
  <c r="G1895" i="57" s="1"/>
  <c r="G1609" i="57"/>
  <c r="G1894" i="57" s="1"/>
  <c r="G1598" i="57"/>
  <c r="G1704" i="57" s="1"/>
  <c r="G1607" i="57"/>
  <c r="G1892" i="57" s="1"/>
  <c r="AJ1609" i="57"/>
  <c r="AJ1894" i="57" s="1"/>
  <c r="AJ1610" i="57"/>
  <c r="AJ1895" i="57" s="1"/>
  <c r="AJ1598" i="57"/>
  <c r="AJ1704" i="57" s="1"/>
  <c r="AJ1611" i="57"/>
  <c r="AJ1896" i="57" s="1"/>
  <c r="AJ1595" i="57"/>
  <c r="AJ1703" i="57" s="1"/>
  <c r="AJ1608" i="57"/>
  <c r="AJ1893" i="57" s="1"/>
  <c r="AJ1612" i="57"/>
  <c r="AJ1897" i="57" s="1"/>
  <c r="AJ1607" i="57"/>
  <c r="AJ1892" i="57" s="1"/>
  <c r="C2119" i="57"/>
  <c r="P2132" i="57" s="1"/>
  <c r="F2101" i="57"/>
  <c r="B2119" i="57" s="1"/>
  <c r="O2132" i="57" s="1"/>
  <c r="E1946" i="57"/>
  <c r="E2229" i="57" s="1"/>
  <c r="E1965" i="57"/>
  <c r="E2249" i="57" s="1"/>
  <c r="AJ1601" i="57"/>
  <c r="AJ1886" i="57" s="1"/>
  <c r="G1913" i="57"/>
  <c r="G2190" i="57" s="1"/>
  <c r="G2288" i="57" s="1"/>
  <c r="G2376" i="57" s="1"/>
  <c r="G2547" i="57" s="1"/>
  <c r="G1937" i="57"/>
  <c r="G2219" i="57" s="1"/>
  <c r="E4115" i="57"/>
  <c r="B1447" i="57"/>
  <c r="F2344" i="57" s="1"/>
  <c r="C1638" i="57"/>
  <c r="B3890" i="57"/>
  <c r="C3974" i="57" s="1"/>
  <c r="L3571" i="57"/>
  <c r="D909" i="57"/>
  <c r="E1966" i="57"/>
  <c r="E2250" i="57" s="1"/>
  <c r="E1947" i="57"/>
  <c r="E2230" i="57" s="1"/>
  <c r="E1923" i="57"/>
  <c r="E2205" i="57" s="1"/>
  <c r="E1925" i="57"/>
  <c r="E2207" i="57" s="1"/>
  <c r="E1722" i="57"/>
  <c r="G1722" i="57"/>
  <c r="G1947" i="57"/>
  <c r="G2230" i="57" s="1"/>
  <c r="G1923" i="57"/>
  <c r="G2205" i="57" s="1"/>
  <c r="G1601" i="57"/>
  <c r="G1886" i="57" s="1"/>
  <c r="L3592" i="57"/>
  <c r="D930" i="57"/>
  <c r="L3576" i="57"/>
  <c r="D914" i="57"/>
  <c r="K3587" i="57"/>
  <c r="D925" i="57"/>
  <c r="I2352" i="57"/>
  <c r="I2395" i="57" s="1"/>
  <c r="J2352" i="57"/>
  <c r="J2395" i="57" s="1"/>
  <c r="H2352" i="57"/>
  <c r="H2395" i="57" s="1"/>
  <c r="C2352" i="57"/>
  <c r="C2395" i="57" s="1"/>
  <c r="F2352" i="57"/>
  <c r="F2395" i="57" s="1"/>
  <c r="F104" i="56"/>
  <c r="G63" i="55"/>
  <c r="E2352" i="57"/>
  <c r="E2395" i="57" s="1"/>
  <c r="E1944" i="57"/>
  <c r="E2227" i="57" s="1"/>
  <c r="E1920" i="57"/>
  <c r="E2202" i="57" s="1"/>
  <c r="E1963" i="57"/>
  <c r="E2247" i="57" s="1"/>
  <c r="G1948" i="57"/>
  <c r="G2231" i="57" s="1"/>
  <c r="G1924" i="57"/>
  <c r="G2206" i="57" s="1"/>
  <c r="G1967" i="57"/>
  <c r="G2251" i="57" s="1"/>
  <c r="G1723" i="57"/>
  <c r="G1600" i="57"/>
  <c r="G1885" i="57" s="1"/>
  <c r="I1913" i="57"/>
  <c r="I2190" i="57" s="1"/>
  <c r="I1937" i="57"/>
  <c r="I2219" i="57" s="1"/>
  <c r="Y40" i="31"/>
  <c r="D101" i="38" s="1"/>
  <c r="D101" i="37"/>
  <c r="C94" i="37"/>
  <c r="C83" i="37"/>
  <c r="AJ22" i="31"/>
  <c r="C83" i="38" s="1"/>
  <c r="E51" i="51"/>
  <c r="D41" i="51"/>
  <c r="D47" i="51" s="1"/>
  <c r="D48" i="51" s="1"/>
  <c r="B1431" i="57"/>
  <c r="I2328" i="57" s="1"/>
  <c r="E4123" i="57"/>
  <c r="B1456" i="57"/>
  <c r="B2657" i="57"/>
  <c r="H2344" i="57"/>
  <c r="B2056" i="57"/>
  <c r="E2056" i="57" s="1"/>
  <c r="B2074" i="57" s="1"/>
  <c r="C2074" i="57" s="1"/>
  <c r="B2970" i="57"/>
  <c r="B3142" i="57" s="1"/>
  <c r="C2356" i="57"/>
  <c r="C2399" i="57" s="1"/>
  <c r="E51" i="55"/>
  <c r="N46" i="56"/>
  <c r="B2966" i="57"/>
  <c r="B3138" i="57" s="1"/>
  <c r="B3355" i="57" s="1"/>
  <c r="B3367" i="57" s="1"/>
  <c r="B3696" i="57" s="1"/>
  <c r="B2482" i="57"/>
  <c r="B2522" i="57" s="1"/>
  <c r="E80" i="55"/>
  <c r="N93" i="56"/>
  <c r="H93" i="56"/>
  <c r="I80" i="55"/>
  <c r="B1452" i="57"/>
  <c r="D2349" i="57" s="1"/>
  <c r="I2310" i="57"/>
  <c r="I2392" i="57" s="1"/>
  <c r="B2653" i="57"/>
  <c r="D2070" i="57"/>
  <c r="D2034" i="57"/>
  <c r="C2034" i="57"/>
  <c r="H2340" i="57"/>
  <c r="B2340" i="57"/>
  <c r="C2340" i="57"/>
  <c r="F2340" i="57"/>
  <c r="B2034" i="57"/>
  <c r="E2034" i="57" s="1"/>
  <c r="B2070" i="57" s="1"/>
  <c r="C2070" i="57" s="1"/>
  <c r="J2340" i="57"/>
  <c r="F2342" i="57"/>
  <c r="E2342" i="57"/>
  <c r="B2655" i="57"/>
  <c r="C2036" i="57"/>
  <c r="J2342" i="57"/>
  <c r="C2342" i="57"/>
  <c r="B2036" i="57"/>
  <c r="E2036" i="57" s="1"/>
  <c r="B2072" i="57" s="1"/>
  <c r="C2072" i="57" s="1"/>
  <c r="D2036" i="57"/>
  <c r="B2342" i="57"/>
  <c r="H2342" i="57"/>
  <c r="D2072" i="57"/>
  <c r="D82" i="37"/>
  <c r="AK21" i="31"/>
  <c r="D82" i="38" s="1"/>
  <c r="K3582" i="57"/>
  <c r="D920" i="57"/>
  <c r="D2099" i="57"/>
  <c r="D2117" i="57" s="1"/>
  <c r="I2132" i="57" s="1"/>
  <c r="I1582" i="57"/>
  <c r="G2315" i="57"/>
  <c r="G2401" i="57" s="1"/>
  <c r="B1444" i="57"/>
  <c r="H80" i="55"/>
  <c r="G93" i="56"/>
  <c r="B2969" i="57"/>
  <c r="B3141" i="57" s="1"/>
  <c r="E4119" i="57"/>
  <c r="B70" i="37"/>
  <c r="AI9" i="31"/>
  <c r="B70" i="38" s="1"/>
  <c r="B83" i="37"/>
  <c r="AI22" i="31"/>
  <c r="B83" i="38" s="1"/>
  <c r="K3566" i="57"/>
  <c r="D904" i="57"/>
  <c r="B2954" i="57"/>
  <c r="B3126" i="57" s="1"/>
  <c r="J80" i="55"/>
  <c r="I93" i="56"/>
  <c r="E4437" i="57"/>
  <c r="G1202" i="57"/>
  <c r="E1283" i="57" s="1"/>
  <c r="C2117" i="57"/>
  <c r="H2132" i="57" s="1"/>
  <c r="F2099" i="57"/>
  <c r="B2117" i="57" s="1"/>
  <c r="G2132" i="57" s="1"/>
  <c r="B2978" i="57"/>
  <c r="B2350" i="57"/>
  <c r="O46" i="56"/>
  <c r="F51" i="55"/>
  <c r="B1434" i="57"/>
  <c r="D2331" i="57" s="1"/>
  <c r="F80" i="55"/>
  <c r="O93" i="56"/>
  <c r="B1457" i="57"/>
  <c r="G2354" i="57" s="1"/>
  <c r="E2346" i="57"/>
  <c r="E2389" i="57" s="1"/>
  <c r="H2346" i="57"/>
  <c r="H2389" i="57" s="1"/>
  <c r="B2346" i="57"/>
  <c r="B2389" i="57" s="1"/>
  <c r="I2346" i="57"/>
  <c r="I2389" i="57" s="1"/>
  <c r="F2346" i="57"/>
  <c r="F2389" i="57" s="1"/>
  <c r="J2346" i="57"/>
  <c r="J2389" i="57" s="1"/>
  <c r="C2346" i="57"/>
  <c r="C2389" i="57" s="1"/>
  <c r="E2358" i="57"/>
  <c r="B2358" i="57"/>
  <c r="H2358" i="57"/>
  <c r="J2358" i="57"/>
  <c r="F2358" i="57"/>
  <c r="G2358" i="57"/>
  <c r="C2358" i="57"/>
  <c r="D78" i="37"/>
  <c r="AK17" i="31"/>
  <c r="D78" i="38" s="1"/>
  <c r="B2981" i="57"/>
  <c r="G105" i="56"/>
  <c r="H83" i="55"/>
  <c r="C2339" i="57"/>
  <c r="E4124" i="57"/>
  <c r="B1435" i="57"/>
  <c r="J2497" i="57"/>
  <c r="J2514" i="57" s="1"/>
  <c r="B3264" i="57"/>
  <c r="F2329" i="57"/>
  <c r="F2497" i="57"/>
  <c r="F2514" i="57" s="1"/>
  <c r="J2329" i="57"/>
  <c r="D1477" i="57"/>
  <c r="E2497" i="57"/>
  <c r="E2514" i="57" s="1"/>
  <c r="C1477" i="57"/>
  <c r="B1630" i="57"/>
  <c r="B1477" i="57"/>
  <c r="E1477" i="57" s="1"/>
  <c r="B1537" i="57" s="1"/>
  <c r="C1537" i="57" s="1"/>
  <c r="H2497" i="57"/>
  <c r="H2514" i="57" s="1"/>
  <c r="H2329" i="57"/>
  <c r="E2329" i="57"/>
  <c r="C78" i="36"/>
  <c r="AB17" i="31"/>
  <c r="E41" i="51"/>
  <c r="E47" i="51" s="1"/>
  <c r="E48" i="51" s="1"/>
  <c r="E50" i="51"/>
  <c r="G2350" i="57"/>
  <c r="I99" i="56"/>
  <c r="J33" i="55"/>
  <c r="E84" i="55"/>
  <c r="N109" i="56"/>
  <c r="J2481" i="57"/>
  <c r="J2521" i="57" s="1"/>
  <c r="H2481" i="57"/>
  <c r="H2521" i="57" s="1"/>
  <c r="G2481" i="57"/>
  <c r="G2521" i="57" s="1"/>
  <c r="F2481" i="57"/>
  <c r="F2521" i="57" s="1"/>
  <c r="C2481" i="57"/>
  <c r="C2521" i="57" s="1"/>
  <c r="E2481" i="57"/>
  <c r="E2521" i="57" s="1"/>
  <c r="I2481" i="57"/>
  <c r="I2521" i="57" s="1"/>
  <c r="B2481" i="57"/>
  <c r="B2521" i="57" s="1"/>
  <c r="D2481" i="57"/>
  <c r="D2521" i="57" s="1"/>
  <c r="C3263" i="57"/>
  <c r="D81" i="37"/>
  <c r="AK20" i="31"/>
  <c r="D81" i="38" s="1"/>
  <c r="X42" i="31"/>
  <c r="C103" i="38" s="1"/>
  <c r="C103" i="37"/>
  <c r="I2350" i="57"/>
  <c r="I2351" i="57"/>
  <c r="I2394" i="57" s="1"/>
  <c r="I2342" i="57"/>
  <c r="B1450" i="57"/>
  <c r="E4117" i="57"/>
  <c r="B2957" i="57"/>
  <c r="B3129" i="57" s="1"/>
  <c r="B2497" i="57"/>
  <c r="B2514" i="57" s="1"/>
  <c r="B2329" i="57"/>
  <c r="G2342" i="57"/>
  <c r="G2355" i="57"/>
  <c r="G2398" i="57" s="1"/>
  <c r="I84" i="55"/>
  <c r="H109" i="56"/>
  <c r="H75" i="56"/>
  <c r="I75" i="55"/>
  <c r="F20" i="55"/>
  <c r="O53" i="56"/>
  <c r="H20" i="55"/>
  <c r="G53" i="56"/>
  <c r="J68" i="55"/>
  <c r="I43" i="56"/>
  <c r="B1460" i="57"/>
  <c r="I2341" i="57"/>
  <c r="E73" i="37"/>
  <c r="AL12" i="31"/>
  <c r="C700" i="57"/>
  <c r="D699" i="57"/>
  <c r="B2603" i="57" s="1"/>
  <c r="I2613" i="57" s="1"/>
  <c r="F100" i="38"/>
  <c r="F102" i="38"/>
  <c r="F101" i="38"/>
  <c r="F104" i="38"/>
  <c r="F103" i="38"/>
  <c r="F99" i="38"/>
  <c r="B104" i="37"/>
  <c r="W43" i="31"/>
  <c r="B104" i="38" s="1"/>
  <c r="E81" i="37"/>
  <c r="E94" i="37"/>
  <c r="X41" i="31"/>
  <c r="C102" i="38" s="1"/>
  <c r="C102" i="37"/>
  <c r="B73" i="37"/>
  <c r="AI12" i="31"/>
  <c r="B73" i="38" s="1"/>
  <c r="B68" i="36"/>
  <c r="AA7" i="31"/>
  <c r="D2482" i="57"/>
  <c r="D2522" i="57" s="1"/>
  <c r="D2351" i="57"/>
  <c r="D2394" i="57" s="1"/>
  <c r="D2500" i="57"/>
  <c r="D2517" i="57" s="1"/>
  <c r="D2333" i="57"/>
  <c r="D2497" i="57"/>
  <c r="D2514" i="57" s="1"/>
  <c r="D2329" i="57"/>
  <c r="I2338" i="57"/>
  <c r="F2338" i="57"/>
  <c r="J2338" i="57"/>
  <c r="H2338" i="57"/>
  <c r="B1520" i="57"/>
  <c r="E1520" i="57" s="1"/>
  <c r="B1546" i="57" s="1"/>
  <c r="C1546" i="57" s="1"/>
  <c r="C2338" i="57"/>
  <c r="G2338" i="57"/>
  <c r="D1520" i="57"/>
  <c r="C1520" i="57"/>
  <c r="E2338" i="57"/>
  <c r="D2338" i="57"/>
  <c r="B2338" i="57"/>
  <c r="AE6" i="32"/>
  <c r="AA6" i="32"/>
  <c r="AI6" i="32" s="1"/>
  <c r="B99" i="36"/>
  <c r="R38" i="31"/>
  <c r="I2358" i="57"/>
  <c r="G2352" i="57"/>
  <c r="G2395" i="57" s="1"/>
  <c r="G1188" i="57"/>
  <c r="F97" i="37"/>
  <c r="E100" i="37"/>
  <c r="E104" i="37"/>
  <c r="E103" i="37"/>
  <c r="E101" i="37"/>
  <c r="E99" i="37"/>
  <c r="E102" i="37"/>
  <c r="Y43" i="31"/>
  <c r="D104" i="38" s="1"/>
  <c r="D104" i="37"/>
  <c r="D99" i="36"/>
  <c r="T38" i="31"/>
  <c r="E150" i="38"/>
  <c r="B150" i="37"/>
  <c r="B150" i="38"/>
  <c r="E150" i="35"/>
  <c r="E150" i="36"/>
  <c r="B150" i="35"/>
  <c r="B150" i="36"/>
  <c r="E150" i="37"/>
  <c r="E150" i="34"/>
  <c r="B150" i="34"/>
  <c r="B110" i="41"/>
  <c r="F87" i="34"/>
  <c r="F83" i="34"/>
  <c r="F81" i="34"/>
  <c r="F77" i="34"/>
  <c r="F73" i="34"/>
  <c r="F69" i="34"/>
  <c r="F86" i="34"/>
  <c r="G66" i="34"/>
  <c r="F80" i="34"/>
  <c r="F76" i="34"/>
  <c r="F68" i="34"/>
  <c r="F72" i="34"/>
  <c r="F82" i="34"/>
  <c r="F74" i="34"/>
  <c r="F70" i="34"/>
  <c r="F85" i="34"/>
  <c r="F79" i="34"/>
  <c r="F71" i="34"/>
  <c r="F84" i="34"/>
  <c r="F78" i="34"/>
  <c r="F94" i="34"/>
  <c r="F75" i="34"/>
  <c r="D2340" i="57"/>
  <c r="D2358" i="57"/>
  <c r="D2483" i="57"/>
  <c r="D2523" i="57" s="1"/>
  <c r="D2339" i="57"/>
  <c r="D2334" i="57"/>
  <c r="D2501" i="57"/>
  <c r="D2518" i="57" s="1"/>
  <c r="D2352" i="57"/>
  <c r="D2395" i="57" s="1"/>
  <c r="D2342" i="57"/>
  <c r="G2340" i="57"/>
  <c r="G1235" i="57"/>
  <c r="E1293" i="57" s="1"/>
  <c r="I2332" i="57"/>
  <c r="I2499" i="57"/>
  <c r="I2516" i="57" s="1"/>
  <c r="I2353" i="57"/>
  <c r="I2340" i="57"/>
  <c r="I2344" i="57"/>
  <c r="G2502" i="57"/>
  <c r="G2519" i="57" s="1"/>
  <c r="G2335" i="57"/>
  <c r="G2500" i="57"/>
  <c r="G2517" i="57" s="1"/>
  <c r="G2333" i="57"/>
  <c r="G2353" i="57"/>
  <c r="G2356" i="57"/>
  <c r="G2399" i="57" s="1"/>
  <c r="G2497" i="57"/>
  <c r="G2514" i="57" s="1"/>
  <c r="G2329" i="57"/>
  <c r="O99" i="56"/>
  <c r="F33" i="55"/>
  <c r="B1446" i="57"/>
  <c r="H84" i="55"/>
  <c r="G109" i="56"/>
  <c r="F84" i="55"/>
  <c r="O109" i="56"/>
  <c r="H75" i="55"/>
  <c r="G75" i="56"/>
  <c r="J20" i="55"/>
  <c r="I53" i="56"/>
  <c r="B1279" i="57"/>
  <c r="B3898" i="57" s="1"/>
  <c r="C3982" i="57" s="1"/>
  <c r="G1187" i="57"/>
  <c r="O43" i="56"/>
  <c r="F68" i="55"/>
  <c r="G2348" i="57"/>
  <c r="G2391" i="57" s="1"/>
  <c r="J2348" i="57"/>
  <c r="J2391" i="57" s="1"/>
  <c r="B2348" i="57"/>
  <c r="B2391" i="57" s="1"/>
  <c r="E2348" i="57"/>
  <c r="E2391" i="57" s="1"/>
  <c r="D2348" i="57"/>
  <c r="D2391" i="57" s="1"/>
  <c r="C2348" i="57"/>
  <c r="C2391" i="57" s="1"/>
  <c r="F2348" i="57"/>
  <c r="F2391" i="57" s="1"/>
  <c r="H2348" i="57"/>
  <c r="H2391" i="57" s="1"/>
  <c r="I2348" i="57"/>
  <c r="I2391" i="57" s="1"/>
  <c r="H2328" i="57"/>
  <c r="J2328" i="57"/>
  <c r="G2328" i="57"/>
  <c r="AK9" i="31"/>
  <c r="D70" i="38" s="1"/>
  <c r="D70" i="37"/>
  <c r="B101" i="37"/>
  <c r="W40" i="31"/>
  <c r="B101" i="38" s="1"/>
  <c r="G66" i="37"/>
  <c r="F85" i="37"/>
  <c r="F81" i="37"/>
  <c r="F77" i="37"/>
  <c r="F73" i="37"/>
  <c r="F69" i="37"/>
  <c r="F87" i="37"/>
  <c r="F82" i="37"/>
  <c r="F76" i="37"/>
  <c r="F71" i="37"/>
  <c r="F86" i="37"/>
  <c r="F80" i="37"/>
  <c r="F75" i="37"/>
  <c r="F70" i="37"/>
  <c r="F94" i="37"/>
  <c r="F78" i="37"/>
  <c r="F84" i="37"/>
  <c r="F74" i="37"/>
  <c r="F83" i="37"/>
  <c r="F72" i="37"/>
  <c r="F68" i="37"/>
  <c r="F79" i="37"/>
  <c r="D75" i="37"/>
  <c r="AK14" i="31"/>
  <c r="D75" i="38" s="1"/>
  <c r="C99" i="36"/>
  <c r="S38" i="31"/>
  <c r="B94" i="37"/>
  <c r="AI33" i="31"/>
  <c r="B94" i="38" s="1"/>
  <c r="D2356" i="57"/>
  <c r="D2399" i="57" s="1"/>
  <c r="D2355" i="57"/>
  <c r="D2398" i="57" s="1"/>
  <c r="D2350" i="57"/>
  <c r="D2346" i="57"/>
  <c r="D2389" i="57" s="1"/>
  <c r="D2502" i="57"/>
  <c r="D2519" i="57" s="1"/>
  <c r="D2335" i="57"/>
  <c r="C68" i="37"/>
  <c r="AJ7" i="31"/>
  <c r="C68" i="38" s="1"/>
  <c r="I2355" i="57"/>
  <c r="I2398" i="57" s="1"/>
  <c r="I2329" i="57"/>
  <c r="G2482" i="57"/>
  <c r="G2522" i="57" s="1"/>
  <c r="B1433" i="57"/>
  <c r="D86" i="35"/>
  <c r="D82" i="35"/>
  <c r="D78" i="35"/>
  <c r="D74" i="35"/>
  <c r="D70" i="35"/>
  <c r="D84" i="35"/>
  <c r="D79" i="35"/>
  <c r="D73" i="35"/>
  <c r="D68" i="35"/>
  <c r="D94" i="35"/>
  <c r="D83" i="35"/>
  <c r="D77" i="35"/>
  <c r="D72" i="35"/>
  <c r="E66" i="35"/>
  <c r="D87" i="35"/>
  <c r="D76" i="35"/>
  <c r="D85" i="35"/>
  <c r="D75" i="35"/>
  <c r="D81" i="35"/>
  <c r="D71" i="35"/>
  <c r="D80" i="35"/>
  <c r="D69" i="35"/>
  <c r="F66" i="38"/>
  <c r="E87" i="38"/>
  <c r="E83" i="38"/>
  <c r="E79" i="38"/>
  <c r="E75" i="38"/>
  <c r="E71" i="38"/>
  <c r="E85" i="38"/>
  <c r="E80" i="38"/>
  <c r="E74" i="38"/>
  <c r="E69" i="38"/>
  <c r="E84" i="38"/>
  <c r="E78" i="38"/>
  <c r="E73" i="38"/>
  <c r="E68" i="38"/>
  <c r="E86" i="38"/>
  <c r="E76" i="38"/>
  <c r="E82" i="38"/>
  <c r="E72" i="38"/>
  <c r="E81" i="38"/>
  <c r="E70" i="38"/>
  <c r="E94" i="38"/>
  <c r="AL16" i="31"/>
  <c r="E77" i="38" s="1"/>
  <c r="E77" i="37"/>
  <c r="I2334" i="57"/>
  <c r="I2501" i="57"/>
  <c r="I2518" i="57" s="1"/>
  <c r="I2482" i="57"/>
  <c r="I2522" i="57" s="1"/>
  <c r="N116" i="56"/>
  <c r="E86" i="55"/>
  <c r="C2329" i="57"/>
  <c r="C2497" i="57"/>
  <c r="C2514" i="57" s="1"/>
  <c r="B698" i="57"/>
  <c r="B712" i="57"/>
  <c r="B728" i="57" s="1"/>
  <c r="G2501" i="57"/>
  <c r="G2518" i="57" s="1"/>
  <c r="G2334" i="57"/>
  <c r="G2351" i="57"/>
  <c r="G2394" i="57" s="1"/>
  <c r="G2346" i="57"/>
  <c r="G2389" i="57" s="1"/>
  <c r="G2483" i="57"/>
  <c r="G2523" i="57" s="1"/>
  <c r="G2339" i="57"/>
  <c r="G2341" i="57"/>
  <c r="H99" i="56"/>
  <c r="I33" i="55"/>
  <c r="H1285" i="57"/>
  <c r="B1430" i="57"/>
  <c r="B1448" i="57"/>
  <c r="G2313" i="57"/>
  <c r="G2397" i="57" s="1"/>
  <c r="I68" i="55"/>
  <c r="H43" i="56"/>
  <c r="G43" i="56"/>
  <c r="H68" i="55"/>
  <c r="E4127" i="57"/>
  <c r="B102" i="37"/>
  <c r="W41" i="31"/>
  <c r="B102" i="38" s="1"/>
  <c r="AK22" i="31"/>
  <c r="D83" i="38" s="1"/>
  <c r="D83" i="37"/>
  <c r="B103" i="37"/>
  <c r="W42" i="31"/>
  <c r="B103" i="38" s="1"/>
  <c r="B2604" i="57"/>
  <c r="F103" i="36"/>
  <c r="F104" i="36"/>
  <c r="F99" i="36"/>
  <c r="F101" i="36"/>
  <c r="F102" i="36"/>
  <c r="F100" i="36"/>
  <c r="AK16" i="31"/>
  <c r="D77" i="38" s="1"/>
  <c r="D77" i="37"/>
  <c r="E75" i="37"/>
  <c r="B78" i="37"/>
  <c r="AI17" i="31"/>
  <c r="B78" i="38" s="1"/>
  <c r="D94" i="37"/>
  <c r="AK33" i="31"/>
  <c r="D94" i="38" s="1"/>
  <c r="D68" i="37"/>
  <c r="AK7" i="31"/>
  <c r="D68" i="38" s="1"/>
  <c r="E2288" i="57"/>
  <c r="E2376" i="57" s="1"/>
  <c r="E2547" i="57" s="1"/>
  <c r="D2353" i="57"/>
  <c r="D2499" i="57"/>
  <c r="D2516" i="57" s="1"/>
  <c r="D2332" i="57"/>
  <c r="B2598" i="57" l="1"/>
  <c r="D2613" i="57" s="1"/>
  <c r="B2600" i="57"/>
  <c r="F2613" i="57" s="1"/>
  <c r="D2328" i="57"/>
  <c r="E2328" i="57"/>
  <c r="B2328" i="57"/>
  <c r="I2502" i="57"/>
  <c r="I2519" i="57" s="1"/>
  <c r="E2100" i="57"/>
  <c r="B2596" i="57"/>
  <c r="B2613" i="57" s="1"/>
  <c r="B3085" i="57" s="1"/>
  <c r="B1694" i="57"/>
  <c r="C2328" i="57"/>
  <c r="I2331" i="57"/>
  <c r="I2335" i="57"/>
  <c r="B2602" i="57"/>
  <c r="H2613" i="57" s="1"/>
  <c r="B2601" i="57"/>
  <c r="G2613" i="57" s="1"/>
  <c r="F2328" i="57"/>
  <c r="F2502" i="57"/>
  <c r="F2519" i="57" s="1"/>
  <c r="B1429" i="57"/>
  <c r="C3887" i="57"/>
  <c r="C4004" i="57" s="1"/>
  <c r="L1611" i="57"/>
  <c r="L1896" i="57" s="1"/>
  <c r="L1607" i="57"/>
  <c r="L1892" i="57" s="1"/>
  <c r="L1610" i="57"/>
  <c r="L1895" i="57" s="1"/>
  <c r="L1612" i="57"/>
  <c r="L1897" i="57" s="1"/>
  <c r="L1608" i="57"/>
  <c r="L1893" i="57" s="1"/>
  <c r="L1609" i="57"/>
  <c r="L1894" i="57" s="1"/>
  <c r="L1598" i="57"/>
  <c r="L1704" i="57" s="1"/>
  <c r="L1595" i="57"/>
  <c r="L1703" i="57" s="1"/>
  <c r="L1600" i="57"/>
  <c r="L1885" i="57" s="1"/>
  <c r="I1922" i="57"/>
  <c r="I2204" i="57" s="1"/>
  <c r="I1965" i="57"/>
  <c r="I2249" i="57" s="1"/>
  <c r="I1946" i="57"/>
  <c r="I2229" i="57" s="1"/>
  <c r="G79" i="55"/>
  <c r="F89" i="56"/>
  <c r="AG1601" i="57"/>
  <c r="AG1886" i="57" s="1"/>
  <c r="H1601" i="57"/>
  <c r="H1886" i="57" s="1"/>
  <c r="P1601" i="57"/>
  <c r="P1886" i="57" s="1"/>
  <c r="X1601" i="57"/>
  <c r="X1886" i="57" s="1"/>
  <c r="Q1601" i="57"/>
  <c r="Q1886" i="57" s="1"/>
  <c r="L1601" i="57"/>
  <c r="L1886" i="57" s="1"/>
  <c r="AB1601" i="57"/>
  <c r="AB1886" i="57" s="1"/>
  <c r="W1601" i="57"/>
  <c r="W1886" i="57" s="1"/>
  <c r="Y1601" i="57"/>
  <c r="Y1886" i="57" s="1"/>
  <c r="AE1601" i="57"/>
  <c r="AE1886" i="57" s="1"/>
  <c r="O1601" i="57"/>
  <c r="O1886" i="57" s="1"/>
  <c r="AC1601" i="57"/>
  <c r="AC1886" i="57" s="1"/>
  <c r="M1601" i="57"/>
  <c r="M1886" i="57" s="1"/>
  <c r="AF1601" i="57"/>
  <c r="AF1886" i="57" s="1"/>
  <c r="K1601" i="57"/>
  <c r="K1886" i="57" s="1"/>
  <c r="K1610" i="57"/>
  <c r="K1895" i="57" s="1"/>
  <c r="K1595" i="57"/>
  <c r="K1703" i="57" s="1"/>
  <c r="D1722" i="57" s="1"/>
  <c r="K1609" i="57"/>
  <c r="K1894" i="57" s="1"/>
  <c r="K1607" i="57"/>
  <c r="K1892" i="57" s="1"/>
  <c r="K1612" i="57"/>
  <c r="K1897" i="57" s="1"/>
  <c r="K1598" i="57"/>
  <c r="K1704" i="57" s="1"/>
  <c r="D1723" i="57" s="1"/>
  <c r="K1611" i="57"/>
  <c r="K1896" i="57" s="1"/>
  <c r="K1608" i="57"/>
  <c r="K1893" i="57" s="1"/>
  <c r="K1600" i="57"/>
  <c r="K1885" i="57" s="1"/>
  <c r="I1967" i="57"/>
  <c r="I2251" i="57" s="1"/>
  <c r="I1948" i="57"/>
  <c r="I2231" i="57" s="1"/>
  <c r="I1924" i="57"/>
  <c r="I2206" i="57" s="1"/>
  <c r="I1921" i="57"/>
  <c r="I2203" i="57" s="1"/>
  <c r="I1964" i="57"/>
  <c r="I2248" i="57" s="1"/>
  <c r="I1945" i="57"/>
  <c r="I2228" i="57" s="1"/>
  <c r="F99" i="56"/>
  <c r="G33" i="55"/>
  <c r="F46" i="56"/>
  <c r="G51" i="55"/>
  <c r="I1949" i="57"/>
  <c r="I2232" i="57" s="1"/>
  <c r="I1925" i="57"/>
  <c r="I2207" i="57" s="1"/>
  <c r="I1968" i="57"/>
  <c r="I2252" i="57" s="1"/>
  <c r="I1966" i="57"/>
  <c r="I2250" i="57" s="1"/>
  <c r="I1947" i="57"/>
  <c r="I2230" i="57" s="1"/>
  <c r="I1923" i="57"/>
  <c r="I2205" i="57" s="1"/>
  <c r="E1279" i="57"/>
  <c r="C2681" i="57" s="1"/>
  <c r="H2681" i="57" s="1"/>
  <c r="L2693" i="57" s="1"/>
  <c r="G2314" i="57"/>
  <c r="G2400" i="57" s="1"/>
  <c r="E2313" i="57"/>
  <c r="E2397" i="57" s="1"/>
  <c r="G2312" i="57"/>
  <c r="G2396" i="57" s="1"/>
  <c r="B1731" i="57"/>
  <c r="B2335" i="57"/>
  <c r="B2502" i="57"/>
  <c r="B2519" i="57" s="1"/>
  <c r="J2502" i="57"/>
  <c r="J2519" i="57" s="1"/>
  <c r="E1949" i="57"/>
  <c r="E2232" i="57" s="1"/>
  <c r="B1517" i="57"/>
  <c r="C2502" i="57"/>
  <c r="C2519" i="57" s="1"/>
  <c r="H2335" i="57"/>
  <c r="H2502" i="57"/>
  <c r="H2519" i="57" s="1"/>
  <c r="B3269" i="57"/>
  <c r="D1517" i="57"/>
  <c r="D1749" i="57" s="1"/>
  <c r="F2335" i="57"/>
  <c r="G2310" i="57"/>
  <c r="G2392" i="57" s="1"/>
  <c r="D2354" i="57"/>
  <c r="B1439" i="57"/>
  <c r="E2344" i="57"/>
  <c r="J2344" i="57"/>
  <c r="E1921" i="57"/>
  <c r="E2203" i="57" s="1"/>
  <c r="G2344" i="57"/>
  <c r="D2056" i="57"/>
  <c r="D2074" i="57"/>
  <c r="C2056" i="57"/>
  <c r="E1945" i="57"/>
  <c r="E2228" i="57" s="1"/>
  <c r="D2344" i="57"/>
  <c r="C2344" i="57"/>
  <c r="B2344" i="57"/>
  <c r="E2310" i="57"/>
  <c r="E2392" i="57" s="1"/>
  <c r="E2312" i="57"/>
  <c r="E2396" i="57" s="1"/>
  <c r="C2124" i="57"/>
  <c r="AJ2132" i="57" s="1"/>
  <c r="F2106" i="57"/>
  <c r="B2124" i="57" s="1"/>
  <c r="AI2132" i="57" s="1"/>
  <c r="AK1598" i="57"/>
  <c r="AK1704" i="57" s="1"/>
  <c r="AK1595" i="57"/>
  <c r="AK1703" i="57" s="1"/>
  <c r="AK1609" i="57"/>
  <c r="AK1894" i="57" s="1"/>
  <c r="AK1607" i="57"/>
  <c r="AK1892" i="57" s="1"/>
  <c r="AK1608" i="57"/>
  <c r="AK1893" i="57" s="1"/>
  <c r="AK1611" i="57"/>
  <c r="AK1896" i="57" s="1"/>
  <c r="AK1610" i="57"/>
  <c r="AK1895" i="57" s="1"/>
  <c r="AK1600" i="57"/>
  <c r="AK1885" i="57" s="1"/>
  <c r="AK1601" i="57"/>
  <c r="AK1886" i="57" s="1"/>
  <c r="AK1612" i="57"/>
  <c r="AK1897" i="57" s="1"/>
  <c r="H1965" i="57"/>
  <c r="H2249" i="57" s="1"/>
  <c r="H1946" i="57"/>
  <c r="H2229" i="57" s="1"/>
  <c r="H1922" i="57"/>
  <c r="H2204" i="57" s="1"/>
  <c r="AI1608" i="57"/>
  <c r="AI1893" i="57" s="1"/>
  <c r="AI1609" i="57"/>
  <c r="AI1894" i="57" s="1"/>
  <c r="J1965" i="57" s="1"/>
  <c r="J2249" i="57" s="1"/>
  <c r="AI1610" i="57"/>
  <c r="AI1895" i="57" s="1"/>
  <c r="AI1598" i="57"/>
  <c r="AI1704" i="57" s="1"/>
  <c r="J1723" i="57" s="1"/>
  <c r="AI1611" i="57"/>
  <c r="AI1896" i="57" s="1"/>
  <c r="AI1612" i="57"/>
  <c r="AI1897" i="57" s="1"/>
  <c r="AI1595" i="57"/>
  <c r="AI1703" i="57" s="1"/>
  <c r="AI1607" i="57"/>
  <c r="AI1892" i="57" s="1"/>
  <c r="AI1600" i="57"/>
  <c r="AI1885" i="57" s="1"/>
  <c r="AI1601" i="57"/>
  <c r="AI1886" i="57" s="1"/>
  <c r="E1610" i="57"/>
  <c r="E1895" i="57" s="1"/>
  <c r="E1611" i="57"/>
  <c r="E1896" i="57" s="1"/>
  <c r="E1595" i="57"/>
  <c r="E1703" i="57" s="1"/>
  <c r="E1608" i="57"/>
  <c r="E1893" i="57" s="1"/>
  <c r="E1607" i="57"/>
  <c r="E1892" i="57" s="1"/>
  <c r="E1612" i="57"/>
  <c r="E1897" i="57" s="1"/>
  <c r="E1609" i="57"/>
  <c r="E1894" i="57" s="1"/>
  <c r="E1600" i="57"/>
  <c r="E1885" i="57" s="1"/>
  <c r="E1601" i="57"/>
  <c r="E1886" i="57" s="1"/>
  <c r="E1598" i="57"/>
  <c r="E1704" i="57" s="1"/>
  <c r="D1611" i="57"/>
  <c r="D1896" i="57" s="1"/>
  <c r="D1598" i="57"/>
  <c r="D1704" i="57" s="1"/>
  <c r="D1595" i="57"/>
  <c r="D1703" i="57" s="1"/>
  <c r="D1607" i="57"/>
  <c r="D1892" i="57" s="1"/>
  <c r="D1609" i="57"/>
  <c r="D1894" i="57" s="1"/>
  <c r="D1610" i="57"/>
  <c r="D1895" i="57" s="1"/>
  <c r="D1608" i="57"/>
  <c r="D1893" i="57" s="1"/>
  <c r="D1612" i="57"/>
  <c r="D1897" i="57" s="1"/>
  <c r="D1601" i="57"/>
  <c r="D1886" i="57" s="1"/>
  <c r="D1600" i="57"/>
  <c r="D1885" i="57" s="1"/>
  <c r="T1598" i="57"/>
  <c r="T1704" i="57" s="1"/>
  <c r="T1609" i="57"/>
  <c r="T1894" i="57" s="1"/>
  <c r="T1610" i="57"/>
  <c r="T1895" i="57" s="1"/>
  <c r="T1608" i="57"/>
  <c r="T1893" i="57" s="1"/>
  <c r="T1595" i="57"/>
  <c r="T1703" i="57" s="1"/>
  <c r="T1612" i="57"/>
  <c r="T1897" i="57" s="1"/>
  <c r="T1607" i="57"/>
  <c r="T1892" i="57" s="1"/>
  <c r="T1611" i="57"/>
  <c r="T1896" i="57" s="1"/>
  <c r="T1600" i="57"/>
  <c r="T1885" i="57" s="1"/>
  <c r="T1601" i="57"/>
  <c r="T1886" i="57" s="1"/>
  <c r="H1967" i="57"/>
  <c r="H2251" i="57" s="1"/>
  <c r="H1948" i="57"/>
  <c r="H2231" i="57" s="1"/>
  <c r="H1924" i="57"/>
  <c r="H2206" i="57" s="1"/>
  <c r="H1920" i="57"/>
  <c r="H2202" i="57" s="1"/>
  <c r="H1944" i="57"/>
  <c r="H2227" i="57" s="1"/>
  <c r="H1963" i="57"/>
  <c r="H2247" i="57" s="1"/>
  <c r="C1595" i="57"/>
  <c r="C1703" i="57" s="1"/>
  <c r="C1610" i="57"/>
  <c r="C1895" i="57" s="1"/>
  <c r="C1612" i="57"/>
  <c r="C1897" i="57" s="1"/>
  <c r="C1607" i="57"/>
  <c r="C1892" i="57" s="1"/>
  <c r="C1608" i="57"/>
  <c r="C1893" i="57" s="1"/>
  <c r="C1609" i="57"/>
  <c r="C1894" i="57" s="1"/>
  <c r="C1598" i="57"/>
  <c r="C1704" i="57" s="1"/>
  <c r="C1611" i="57"/>
  <c r="C1896" i="57" s="1"/>
  <c r="C1600" i="57"/>
  <c r="C1885" i="57" s="1"/>
  <c r="C1601" i="57"/>
  <c r="C1886" i="57" s="1"/>
  <c r="C2335" i="57"/>
  <c r="E2335" i="57"/>
  <c r="J2335" i="57"/>
  <c r="E2102" i="57"/>
  <c r="H1966" i="57"/>
  <c r="H2250" i="57" s="1"/>
  <c r="H1947" i="57"/>
  <c r="H2230" i="57" s="1"/>
  <c r="H1923" i="57"/>
  <c r="H2205" i="57" s="1"/>
  <c r="U1607" i="57"/>
  <c r="U1892" i="57" s="1"/>
  <c r="U1609" i="57"/>
  <c r="U1894" i="57" s="1"/>
  <c r="U1610" i="57"/>
  <c r="U1895" i="57" s="1"/>
  <c r="U1611" i="57"/>
  <c r="U1896" i="57" s="1"/>
  <c r="U1612" i="57"/>
  <c r="U1897" i="57" s="1"/>
  <c r="U1608" i="57"/>
  <c r="U1893" i="57" s="1"/>
  <c r="U1598" i="57"/>
  <c r="U1704" i="57" s="1"/>
  <c r="U1595" i="57"/>
  <c r="U1703" i="57" s="1"/>
  <c r="U1600" i="57"/>
  <c r="U1885" i="57" s="1"/>
  <c r="U1601" i="57"/>
  <c r="U1886" i="57" s="1"/>
  <c r="S1612" i="57"/>
  <c r="S1897" i="57" s="1"/>
  <c r="S1595" i="57"/>
  <c r="S1703" i="57" s="1"/>
  <c r="F1722" i="57" s="1"/>
  <c r="S1611" i="57"/>
  <c r="S1896" i="57" s="1"/>
  <c r="S1608" i="57"/>
  <c r="S1893" i="57" s="1"/>
  <c r="S1609" i="57"/>
  <c r="S1894" i="57" s="1"/>
  <c r="S1607" i="57"/>
  <c r="S1892" i="57" s="1"/>
  <c r="S1610" i="57"/>
  <c r="S1895" i="57" s="1"/>
  <c r="S1598" i="57"/>
  <c r="S1704" i="57" s="1"/>
  <c r="S1600" i="57"/>
  <c r="S1885" i="57" s="1"/>
  <c r="S1601" i="57"/>
  <c r="S1886" i="57" s="1"/>
  <c r="F2339" i="57"/>
  <c r="C1521" i="57"/>
  <c r="B1521" i="57"/>
  <c r="E1521" i="57" s="1"/>
  <c r="B1547" i="57" s="1"/>
  <c r="C1547" i="57" s="1"/>
  <c r="D1521" i="57"/>
  <c r="H2339" i="57"/>
  <c r="B2339" i="57"/>
  <c r="J2339" i="57"/>
  <c r="I2339" i="57"/>
  <c r="E2339" i="57"/>
  <c r="H1925" i="57"/>
  <c r="H2207" i="57" s="1"/>
  <c r="H1949" i="57"/>
  <c r="H2232" i="57" s="1"/>
  <c r="H1968" i="57"/>
  <c r="H2252" i="57" s="1"/>
  <c r="H1964" i="57"/>
  <c r="H2248" i="57" s="1"/>
  <c r="H1945" i="57"/>
  <c r="H2228" i="57" s="1"/>
  <c r="H1921" i="57"/>
  <c r="H2203" i="57" s="1"/>
  <c r="J2351" i="57"/>
  <c r="J2394" i="57" s="1"/>
  <c r="B2351" i="57"/>
  <c r="B2394" i="57" s="1"/>
  <c r="F2351" i="57"/>
  <c r="F2394" i="57" s="1"/>
  <c r="H2351" i="57"/>
  <c r="H2394" i="57" s="1"/>
  <c r="E2351" i="57"/>
  <c r="E2394" i="57" s="1"/>
  <c r="E2098" i="57"/>
  <c r="B2597" i="57"/>
  <c r="C2613" i="57" s="1"/>
  <c r="B1749" i="57"/>
  <c r="E1517" i="57"/>
  <c r="B1543" i="57" s="1"/>
  <c r="C1543" i="57" s="1"/>
  <c r="I1605" i="57"/>
  <c r="I1890" i="57" s="1"/>
  <c r="Q1605" i="57"/>
  <c r="Q1890" i="57" s="1"/>
  <c r="E1605" i="57"/>
  <c r="E1890" i="57" s="1"/>
  <c r="U1605" i="57"/>
  <c r="U1890" i="57" s="1"/>
  <c r="AG1605" i="57"/>
  <c r="AG1890" i="57" s="1"/>
  <c r="AJ1605" i="57"/>
  <c r="AJ1890" i="57" s="1"/>
  <c r="X1605" i="57"/>
  <c r="X1890" i="57" s="1"/>
  <c r="AB1605" i="57"/>
  <c r="AB1890" i="57" s="1"/>
  <c r="Y1605" i="57"/>
  <c r="Y1890" i="57" s="1"/>
  <c r="M1605" i="57"/>
  <c r="M1890" i="57" s="1"/>
  <c r="AK1605" i="57"/>
  <c r="AK1890" i="57" s="1"/>
  <c r="D1605" i="57"/>
  <c r="D1890" i="57" s="1"/>
  <c r="T1605" i="57"/>
  <c r="T1890" i="57" s="1"/>
  <c r="S1605" i="57"/>
  <c r="S1890" i="57" s="1"/>
  <c r="AA1605" i="57"/>
  <c r="AA1890" i="57" s="1"/>
  <c r="H1605" i="57"/>
  <c r="H1890" i="57" s="1"/>
  <c r="P1605" i="57"/>
  <c r="P1890" i="57" s="1"/>
  <c r="L1605" i="57"/>
  <c r="L1890" i="57" s="1"/>
  <c r="AF1605" i="57"/>
  <c r="AF1890" i="57" s="1"/>
  <c r="AE1605" i="57"/>
  <c r="AE1890" i="57" s="1"/>
  <c r="C1605" i="57"/>
  <c r="C1890" i="57" s="1"/>
  <c r="W1605" i="57"/>
  <c r="W1890" i="57" s="1"/>
  <c r="AC1605" i="57"/>
  <c r="AC1890" i="57" s="1"/>
  <c r="O1605" i="57"/>
  <c r="O1890" i="57" s="1"/>
  <c r="AI1605" i="57"/>
  <c r="AI1890" i="57" s="1"/>
  <c r="K1605" i="57"/>
  <c r="K1890" i="57" s="1"/>
  <c r="G1605" i="57"/>
  <c r="G1890" i="57" s="1"/>
  <c r="I1596" i="57"/>
  <c r="I1621" i="57" s="1"/>
  <c r="X1596" i="57"/>
  <c r="X1621" i="57" s="1"/>
  <c r="AC1596" i="57"/>
  <c r="AC1621" i="57" s="1"/>
  <c r="AG1596" i="57"/>
  <c r="AG1621" i="57" s="1"/>
  <c r="E1596" i="57"/>
  <c r="E1621" i="57" s="1"/>
  <c r="H1596" i="57"/>
  <c r="H1621" i="57" s="1"/>
  <c r="L1596" i="57"/>
  <c r="L1621" i="57" s="1"/>
  <c r="U1596" i="57"/>
  <c r="U1621" i="57" s="1"/>
  <c r="AB1596" i="57"/>
  <c r="AB1621" i="57" s="1"/>
  <c r="AI1596" i="57"/>
  <c r="AI1621" i="57" s="1"/>
  <c r="G1596" i="57"/>
  <c r="G1621" i="57" s="1"/>
  <c r="K1596" i="57"/>
  <c r="K1621" i="57" s="1"/>
  <c r="O1596" i="57"/>
  <c r="O1621" i="57" s="1"/>
  <c r="Q1596" i="57"/>
  <c r="Q1621" i="57" s="1"/>
  <c r="T1596" i="57"/>
  <c r="T1621" i="57" s="1"/>
  <c r="S1596" i="57"/>
  <c r="S1621" i="57" s="1"/>
  <c r="M1596" i="57"/>
  <c r="M1621" i="57" s="1"/>
  <c r="Y1596" i="57"/>
  <c r="Y1621" i="57" s="1"/>
  <c r="AK1596" i="57"/>
  <c r="AK1621" i="57" s="1"/>
  <c r="AF1596" i="57"/>
  <c r="AF1621" i="57" s="1"/>
  <c r="D1596" i="57"/>
  <c r="D1621" i="57" s="1"/>
  <c r="P1596" i="57"/>
  <c r="P1621" i="57" s="1"/>
  <c r="AJ1596" i="57"/>
  <c r="AJ1621" i="57" s="1"/>
  <c r="W1596" i="57"/>
  <c r="W1621" i="57" s="1"/>
  <c r="C1596" i="57"/>
  <c r="C1621" i="57" s="1"/>
  <c r="B1649" i="57" s="1"/>
  <c r="AE1596" i="57"/>
  <c r="AE1621" i="57" s="1"/>
  <c r="AA1596" i="57"/>
  <c r="AA1621" i="57" s="1"/>
  <c r="I1612" i="57"/>
  <c r="I1897" i="57" s="1"/>
  <c r="C1968" i="57" s="1"/>
  <c r="C2252" i="57" s="1"/>
  <c r="I1595" i="57"/>
  <c r="I1703" i="57" s="1"/>
  <c r="C1722" i="57" s="1"/>
  <c r="I1598" i="57"/>
  <c r="I1704" i="57" s="1"/>
  <c r="C1723" i="57" s="1"/>
  <c r="I1611" i="57"/>
  <c r="I1896" i="57" s="1"/>
  <c r="C1948" i="57" s="1"/>
  <c r="C2231" i="57" s="1"/>
  <c r="I1610" i="57"/>
  <c r="I1895" i="57" s="1"/>
  <c r="C1947" i="57" s="1"/>
  <c r="C2230" i="57" s="1"/>
  <c r="I1608" i="57"/>
  <c r="I1893" i="57" s="1"/>
  <c r="C1945" i="57" s="1"/>
  <c r="C2228" i="57" s="1"/>
  <c r="I1607" i="57"/>
  <c r="I1892" i="57" s="1"/>
  <c r="C1963" i="57" s="1"/>
  <c r="C2247" i="57" s="1"/>
  <c r="I1609" i="57"/>
  <c r="I1894" i="57" s="1"/>
  <c r="C1965" i="57" s="1"/>
  <c r="C2249" i="57" s="1"/>
  <c r="I1601" i="57"/>
  <c r="I1886" i="57" s="1"/>
  <c r="C1938" i="57" s="1"/>
  <c r="C2220" i="57" s="1"/>
  <c r="I1606" i="57"/>
  <c r="I1891" i="57" s="1"/>
  <c r="I1600" i="57"/>
  <c r="I1885" i="57" s="1"/>
  <c r="C1913" i="57" s="1"/>
  <c r="C2190" i="57" s="1"/>
  <c r="E2315" i="57"/>
  <c r="E2401" i="57" s="1"/>
  <c r="J1921" i="57"/>
  <c r="J2203" i="57" s="1"/>
  <c r="J1964" i="57"/>
  <c r="J2248" i="57" s="1"/>
  <c r="J1945" i="57"/>
  <c r="J2228" i="57" s="1"/>
  <c r="J1947" i="57"/>
  <c r="J2230" i="57" s="1"/>
  <c r="I2288" i="57"/>
  <c r="I2376" i="57" s="1"/>
  <c r="I2547" i="57" s="1"/>
  <c r="C1966" i="57"/>
  <c r="C2250" i="57" s="1"/>
  <c r="H2288" i="57"/>
  <c r="H2376" i="57" s="1"/>
  <c r="H2547" i="57" s="1"/>
  <c r="J1963" i="57"/>
  <c r="J2247" i="57" s="1"/>
  <c r="J1944" i="57"/>
  <c r="J2227" i="57" s="1"/>
  <c r="J1920" i="57"/>
  <c r="J2202" i="57" s="1"/>
  <c r="J1948" i="57"/>
  <c r="J2231" i="57" s="1"/>
  <c r="J1924" i="57"/>
  <c r="J2206" i="57" s="1"/>
  <c r="J1967" i="57"/>
  <c r="J2251" i="57" s="1"/>
  <c r="C1920" i="57"/>
  <c r="C2202" i="57" s="1"/>
  <c r="C1949" i="57"/>
  <c r="C2232" i="57" s="1"/>
  <c r="C1925" i="57"/>
  <c r="C2207" i="57" s="1"/>
  <c r="I1602" i="57"/>
  <c r="I1740" i="57" s="1"/>
  <c r="J1925" i="57"/>
  <c r="J2207" i="57" s="1"/>
  <c r="C1964" i="57"/>
  <c r="C2248" i="57" s="1"/>
  <c r="E2311" i="57"/>
  <c r="E2393" i="57" s="1"/>
  <c r="F2332" i="57"/>
  <c r="J2332" i="57"/>
  <c r="C2499" i="57"/>
  <c r="C2516" i="57" s="1"/>
  <c r="D1496" i="57"/>
  <c r="C2332" i="57"/>
  <c r="C1496" i="57"/>
  <c r="H2499" i="57"/>
  <c r="H2516" i="57" s="1"/>
  <c r="G2332" i="57"/>
  <c r="E2499" i="57"/>
  <c r="E2516" i="57" s="1"/>
  <c r="G2499" i="57"/>
  <c r="G2516" i="57" s="1"/>
  <c r="H2332" i="57"/>
  <c r="J2499" i="57"/>
  <c r="J2516" i="57" s="1"/>
  <c r="B2499" i="57"/>
  <c r="B2516" i="57" s="1"/>
  <c r="B2332" i="57"/>
  <c r="B1496" i="57"/>
  <c r="E1496" i="57" s="1"/>
  <c r="B1540" i="57" s="1"/>
  <c r="C1540" i="57" s="1"/>
  <c r="B3266" i="57"/>
  <c r="E2332" i="57"/>
  <c r="F2499" i="57"/>
  <c r="F2516" i="57" s="1"/>
  <c r="H2331" i="57"/>
  <c r="F2331" i="57"/>
  <c r="G2331" i="57"/>
  <c r="E2331" i="57"/>
  <c r="C2331" i="57"/>
  <c r="B2331" i="57"/>
  <c r="B1695" i="57"/>
  <c r="J2331" i="57"/>
  <c r="F93" i="56"/>
  <c r="G80" i="55"/>
  <c r="C78" i="37"/>
  <c r="AJ17" i="31"/>
  <c r="C78" i="38" s="1"/>
  <c r="F2354" i="57"/>
  <c r="H2354" i="57"/>
  <c r="J2354" i="57"/>
  <c r="E2354" i="57"/>
  <c r="C2354" i="57"/>
  <c r="I2354" i="57"/>
  <c r="B2354" i="57"/>
  <c r="B2341" i="57"/>
  <c r="C2341" i="57"/>
  <c r="E2341" i="57"/>
  <c r="D2035" i="57"/>
  <c r="J2341" i="57"/>
  <c r="B2035" i="57"/>
  <c r="E2035" i="57" s="1"/>
  <c r="B2071" i="57" s="1"/>
  <c r="C2071" i="57" s="1"/>
  <c r="D2071" i="57"/>
  <c r="F2341" i="57"/>
  <c r="H2341" i="57"/>
  <c r="C2035" i="57"/>
  <c r="B2654" i="57"/>
  <c r="D2341" i="57"/>
  <c r="H2353" i="57"/>
  <c r="F2353" i="57"/>
  <c r="J2353" i="57"/>
  <c r="C2353" i="57"/>
  <c r="E2353" i="57"/>
  <c r="B2353" i="57"/>
  <c r="I2349" i="57"/>
  <c r="H2349" i="57"/>
  <c r="J2349" i="57"/>
  <c r="E2349" i="57"/>
  <c r="F2349" i="57"/>
  <c r="G2349" i="57"/>
  <c r="B2349" i="57"/>
  <c r="C2349" i="57"/>
  <c r="B3218" i="57"/>
  <c r="B3225" i="57"/>
  <c r="B3233" i="57"/>
  <c r="B3227" i="57"/>
  <c r="B3654" i="57" s="1"/>
  <c r="B3221" i="57"/>
  <c r="B3109" i="57"/>
  <c r="B3101" i="57"/>
  <c r="B3217" i="57"/>
  <c r="B3114" i="57"/>
  <c r="B3230" i="57"/>
  <c r="B3223" i="57"/>
  <c r="B3224" i="57"/>
  <c r="B3099" i="57"/>
  <c r="B3116" i="57"/>
  <c r="B3115" i="57"/>
  <c r="B3216" i="57"/>
  <c r="B3117" i="57"/>
  <c r="B3226" i="57"/>
  <c r="B3107" i="57"/>
  <c r="B3100" i="57"/>
  <c r="B3106" i="57"/>
  <c r="B3231" i="57"/>
  <c r="B3104" i="57"/>
  <c r="B3222" i="57"/>
  <c r="B3103" i="57"/>
  <c r="B3112" i="57"/>
  <c r="B3616" i="57" s="1"/>
  <c r="B3110" i="57"/>
  <c r="B3614" i="57" s="1"/>
  <c r="B3105" i="57"/>
  <c r="B3228" i="57"/>
  <c r="B3655" i="57" s="1"/>
  <c r="B3229" i="57"/>
  <c r="B3656" i="57" s="1"/>
  <c r="B3232" i="57"/>
  <c r="B3220" i="57"/>
  <c r="B3111" i="57"/>
  <c r="B3615" i="57" s="1"/>
  <c r="B3113" i="57"/>
  <c r="B3234" i="57"/>
  <c r="B3108" i="57"/>
  <c r="D2496" i="57"/>
  <c r="D2513" i="57" s="1"/>
  <c r="B1494" i="57"/>
  <c r="C2327" i="57"/>
  <c r="C1494" i="57"/>
  <c r="C1675" i="57" s="1"/>
  <c r="F2496" i="57"/>
  <c r="F2513" i="57" s="1"/>
  <c r="F2327" i="57"/>
  <c r="B2496" i="57"/>
  <c r="B2513" i="57" s="1"/>
  <c r="B2327" i="57"/>
  <c r="G2496" i="57"/>
  <c r="G2513" i="57" s="1"/>
  <c r="I2496" i="57"/>
  <c r="I2513" i="57" s="1"/>
  <c r="J2327" i="57"/>
  <c r="D2327" i="57"/>
  <c r="G2327" i="57"/>
  <c r="H2327" i="57"/>
  <c r="J2496" i="57"/>
  <c r="J2513" i="57" s="1"/>
  <c r="B1657" i="57"/>
  <c r="E2496" i="57"/>
  <c r="E2513" i="57" s="1"/>
  <c r="E2327" i="57"/>
  <c r="D1494" i="57"/>
  <c r="D1675" i="57" s="1"/>
  <c r="H2496" i="57"/>
  <c r="H2513" i="57" s="1"/>
  <c r="B3263" i="57"/>
  <c r="C2496" i="57"/>
  <c r="C2513" i="57" s="1"/>
  <c r="I2327" i="57"/>
  <c r="F66" i="35"/>
  <c r="E79" i="35"/>
  <c r="E81" i="35"/>
  <c r="E70" i="35"/>
  <c r="E83" i="35"/>
  <c r="E71" i="35"/>
  <c r="E86" i="35"/>
  <c r="E74" i="35"/>
  <c r="E72" i="35"/>
  <c r="E80" i="35"/>
  <c r="E85" i="35"/>
  <c r="E94" i="35"/>
  <c r="E68" i="35"/>
  <c r="E76" i="35"/>
  <c r="E75" i="35"/>
  <c r="E69" i="35"/>
  <c r="E82" i="35"/>
  <c r="E87" i="35"/>
  <c r="E77" i="35"/>
  <c r="E84" i="35"/>
  <c r="E78" i="35"/>
  <c r="E73" i="35"/>
  <c r="F2343" i="57"/>
  <c r="H2343" i="57"/>
  <c r="C2343" i="57"/>
  <c r="E2343" i="57"/>
  <c r="D2343" i="57"/>
  <c r="D2073" i="57"/>
  <c r="G2343" i="57"/>
  <c r="I2343" i="57"/>
  <c r="J2343" i="57"/>
  <c r="C2037" i="57"/>
  <c r="D2037" i="57"/>
  <c r="B2037" i="57"/>
  <c r="E2037" i="57" s="1"/>
  <c r="B2073" i="57" s="1"/>
  <c r="C2073" i="57" s="1"/>
  <c r="B2656" i="57"/>
  <c r="B2665" i="57" s="1"/>
  <c r="D2681" i="57" s="1"/>
  <c r="E2681" i="57" s="1"/>
  <c r="B2343" i="57"/>
  <c r="H2347" i="57"/>
  <c r="H2390" i="57" s="1"/>
  <c r="G2347" i="57"/>
  <c r="G2390" i="57" s="1"/>
  <c r="I2347" i="57"/>
  <c r="I2390" i="57" s="1"/>
  <c r="E2347" i="57"/>
  <c r="E2390" i="57" s="1"/>
  <c r="J2347" i="57"/>
  <c r="J2390" i="57" s="1"/>
  <c r="C2347" i="57"/>
  <c r="C2390" i="57" s="1"/>
  <c r="F2347" i="57"/>
  <c r="F2390" i="57" s="1"/>
  <c r="D2347" i="57"/>
  <c r="D2390" i="57" s="1"/>
  <c r="B2347" i="57"/>
  <c r="B2390" i="57" s="1"/>
  <c r="D2498" i="57"/>
  <c r="D2515" i="57" s="1"/>
  <c r="G2498" i="57"/>
  <c r="G2515" i="57" s="1"/>
  <c r="H2330" i="57"/>
  <c r="J2330" i="57"/>
  <c r="B2498" i="57"/>
  <c r="B2515" i="57" s="1"/>
  <c r="J2498" i="57"/>
  <c r="J2515" i="57" s="1"/>
  <c r="I2498" i="57"/>
  <c r="I2515" i="57" s="1"/>
  <c r="H2498" i="57"/>
  <c r="H2515" i="57" s="1"/>
  <c r="F2498" i="57"/>
  <c r="F2515" i="57" s="1"/>
  <c r="B1495" i="57"/>
  <c r="F2330" i="57"/>
  <c r="C2498" i="57"/>
  <c r="C2515" i="57" s="1"/>
  <c r="E2498" i="57"/>
  <c r="E2515" i="57" s="1"/>
  <c r="C1495" i="57"/>
  <c r="C1676" i="57" s="1"/>
  <c r="C2330" i="57"/>
  <c r="I2330" i="57"/>
  <c r="B2330" i="57"/>
  <c r="E2330" i="57"/>
  <c r="B1658" i="57"/>
  <c r="D2330" i="57"/>
  <c r="D1495" i="57"/>
  <c r="D1676" i="57" s="1"/>
  <c r="B3265" i="57"/>
  <c r="G2330" i="57"/>
  <c r="H66" i="37"/>
  <c r="G94" i="37"/>
  <c r="G84" i="37"/>
  <c r="G80" i="37"/>
  <c r="G76" i="37"/>
  <c r="G72" i="37"/>
  <c r="G68" i="37"/>
  <c r="G87" i="37"/>
  <c r="G83" i="37"/>
  <c r="G79" i="37"/>
  <c r="G75" i="37"/>
  <c r="G71" i="37"/>
  <c r="G81" i="37"/>
  <c r="G73" i="37"/>
  <c r="G86" i="37"/>
  <c r="G78" i="37"/>
  <c r="G70" i="37"/>
  <c r="G85" i="37"/>
  <c r="G77" i="37"/>
  <c r="G69" i="37"/>
  <c r="G82" i="37"/>
  <c r="G74" i="37"/>
  <c r="B1440" i="57"/>
  <c r="B99" i="37"/>
  <c r="W38" i="31"/>
  <c r="B99" i="38" s="1"/>
  <c r="I2357" i="57"/>
  <c r="H2357" i="57"/>
  <c r="J2357" i="57"/>
  <c r="E2357" i="57"/>
  <c r="C2357" i="57"/>
  <c r="F2357" i="57"/>
  <c r="G2357" i="57"/>
  <c r="D2357" i="57"/>
  <c r="B2357" i="57"/>
  <c r="B3219" i="57"/>
  <c r="B2681" i="57"/>
  <c r="F2345" i="57"/>
  <c r="F2388" i="57" s="1"/>
  <c r="I2345" i="57"/>
  <c r="I2388" i="57" s="1"/>
  <c r="C2345" i="57"/>
  <c r="C2388" i="57" s="1"/>
  <c r="G2345" i="57"/>
  <c r="G2388" i="57" s="1"/>
  <c r="H2345" i="57"/>
  <c r="H2388" i="57" s="1"/>
  <c r="J2345" i="57"/>
  <c r="J2388" i="57" s="1"/>
  <c r="D2345" i="57"/>
  <c r="D2388" i="57" s="1"/>
  <c r="B2345" i="57"/>
  <c r="B2388" i="57" s="1"/>
  <c r="E2345" i="57"/>
  <c r="E2388" i="57" s="1"/>
  <c r="C99" i="37"/>
  <c r="X38" i="31"/>
  <c r="C99" i="38" s="1"/>
  <c r="D99" i="37"/>
  <c r="Y38" i="31"/>
  <c r="D99" i="38" s="1"/>
  <c r="B3102" i="57"/>
  <c r="E3288" i="57"/>
  <c r="C3288" i="57"/>
  <c r="D3288" i="57"/>
  <c r="B3288" i="57"/>
  <c r="B699" i="57"/>
  <c r="B713" i="57"/>
  <c r="B729" i="57" s="1"/>
  <c r="F94" i="38"/>
  <c r="F84" i="38"/>
  <c r="F80" i="38"/>
  <c r="F76" i="38"/>
  <c r="F72" i="38"/>
  <c r="F68" i="38"/>
  <c r="F87" i="38"/>
  <c r="F82" i="38"/>
  <c r="F77" i="38"/>
  <c r="F71" i="38"/>
  <c r="G66" i="38"/>
  <c r="F86" i="38"/>
  <c r="F81" i="38"/>
  <c r="F75" i="38"/>
  <c r="F70" i="38"/>
  <c r="F78" i="38"/>
  <c r="F85" i="38"/>
  <c r="F74" i="38"/>
  <c r="F83" i="38"/>
  <c r="F73" i="38"/>
  <c r="F79" i="38"/>
  <c r="F69" i="38"/>
  <c r="G84" i="34"/>
  <c r="G94" i="34"/>
  <c r="G80" i="34"/>
  <c r="G76" i="34"/>
  <c r="G72" i="34"/>
  <c r="G68" i="34"/>
  <c r="H66" i="34"/>
  <c r="G79" i="34"/>
  <c r="G71" i="34"/>
  <c r="G83" i="34"/>
  <c r="G75" i="34"/>
  <c r="G77" i="34"/>
  <c r="G69" i="34"/>
  <c r="G73" i="34"/>
  <c r="G86" i="34"/>
  <c r="G82" i="34"/>
  <c r="G74" i="34"/>
  <c r="G81" i="34"/>
  <c r="G85" i="34"/>
  <c r="G78" i="34"/>
  <c r="G70" i="34"/>
  <c r="G87" i="34"/>
  <c r="B151" i="38"/>
  <c r="E151" i="36"/>
  <c r="B151" i="35"/>
  <c r="E151" i="37"/>
  <c r="B151" i="36"/>
  <c r="B151" i="37"/>
  <c r="E151" i="38"/>
  <c r="E151" i="35"/>
  <c r="B111" i="41"/>
  <c r="B112" i="41" s="1"/>
  <c r="E151" i="34"/>
  <c r="B151" i="34"/>
  <c r="F103" i="37"/>
  <c r="F99" i="37"/>
  <c r="F102" i="37"/>
  <c r="F104" i="37"/>
  <c r="F100" i="37"/>
  <c r="F101" i="37"/>
  <c r="J2503" i="57"/>
  <c r="J2520" i="57" s="1"/>
  <c r="E2503" i="57"/>
  <c r="E2520" i="57" s="1"/>
  <c r="C2336" i="57"/>
  <c r="F2503" i="57"/>
  <c r="F2520" i="57" s="1"/>
  <c r="J2336" i="57"/>
  <c r="D2336" i="57"/>
  <c r="E2336" i="57"/>
  <c r="H2336" i="57"/>
  <c r="I2336" i="57"/>
  <c r="I2503" i="57"/>
  <c r="I2520" i="57" s="1"/>
  <c r="D2503" i="57"/>
  <c r="D2520" i="57" s="1"/>
  <c r="B1518" i="57"/>
  <c r="B2503" i="57"/>
  <c r="B2520" i="57" s="1"/>
  <c r="B3270" i="57"/>
  <c r="F2336" i="57"/>
  <c r="C2503" i="57"/>
  <c r="C2520" i="57" s="1"/>
  <c r="C1518" i="57"/>
  <c r="C1750" i="57" s="1"/>
  <c r="G2503" i="57"/>
  <c r="G2520" i="57" s="1"/>
  <c r="B2336" i="57"/>
  <c r="B1732" i="57"/>
  <c r="D1518" i="57"/>
  <c r="D1750" i="57" s="1"/>
  <c r="G2336" i="57"/>
  <c r="H2503" i="57"/>
  <c r="H2520" i="57" s="1"/>
  <c r="B68" i="37"/>
  <c r="AI7" i="31"/>
  <c r="B68" i="38" s="1"/>
  <c r="B2599" i="57"/>
  <c r="E2613" i="57" s="1"/>
  <c r="C1944" i="57" l="1"/>
  <c r="C2227" i="57" s="1"/>
  <c r="C1914" i="57"/>
  <c r="C2191" i="57" s="1"/>
  <c r="B1723" i="57"/>
  <c r="C2118" i="57"/>
  <c r="L2132" i="57" s="1"/>
  <c r="F2100" i="57"/>
  <c r="B2118" i="57" s="1"/>
  <c r="K2132" i="57" s="1"/>
  <c r="B1629" i="57"/>
  <c r="J2326" i="57"/>
  <c r="B2326" i="57"/>
  <c r="D1476" i="57"/>
  <c r="F2495" i="57"/>
  <c r="F2512" i="57" s="1"/>
  <c r="B1476" i="57"/>
  <c r="E1476" i="57" s="1"/>
  <c r="B1534" i="57" s="1"/>
  <c r="C1534" i="57" s="1"/>
  <c r="G2495" i="57"/>
  <c r="G2512" i="57" s="1"/>
  <c r="H2326" i="57"/>
  <c r="J2495" i="57"/>
  <c r="J2512" i="57" s="1"/>
  <c r="B3262" i="57"/>
  <c r="H2495" i="57"/>
  <c r="H2512" i="57" s="1"/>
  <c r="F2326" i="57"/>
  <c r="C2495" i="57"/>
  <c r="C2512" i="57" s="1"/>
  <c r="G2326" i="57"/>
  <c r="C2326" i="57"/>
  <c r="E2326" i="57"/>
  <c r="C1476" i="57"/>
  <c r="B2495" i="57"/>
  <c r="B2512" i="57" s="1"/>
  <c r="D2326" i="57"/>
  <c r="I2326" i="57"/>
  <c r="E2495" i="57"/>
  <c r="E2512" i="57" s="1"/>
  <c r="D2495" i="57"/>
  <c r="D2512" i="57" s="1"/>
  <c r="I2495" i="57"/>
  <c r="I2512" i="57" s="1"/>
  <c r="C1923" i="57"/>
  <c r="C2205" i="57" s="1"/>
  <c r="J1968" i="57"/>
  <c r="J2252" i="57" s="1"/>
  <c r="I2313" i="57"/>
  <c r="I2397" i="57" s="1"/>
  <c r="J1722" i="57"/>
  <c r="D1948" i="57"/>
  <c r="D2231" i="57" s="1"/>
  <c r="D1967" i="57"/>
  <c r="D2251" i="57" s="1"/>
  <c r="D1924" i="57"/>
  <c r="D2206" i="57" s="1"/>
  <c r="D2314" i="57" s="1"/>
  <c r="D2400" i="57" s="1"/>
  <c r="D1965" i="57"/>
  <c r="D2249" i="57" s="1"/>
  <c r="D1946" i="57"/>
  <c r="D2229" i="57" s="1"/>
  <c r="D1922" i="57"/>
  <c r="D2204" i="57" s="1"/>
  <c r="I1914" i="57"/>
  <c r="I2191" i="57" s="1"/>
  <c r="I2289" i="57" s="1"/>
  <c r="I2377" i="57" s="1"/>
  <c r="I2548" i="57" s="1"/>
  <c r="I1938" i="57"/>
  <c r="I2220" i="57" s="1"/>
  <c r="I2315" i="57"/>
  <c r="I2401" i="57" s="1"/>
  <c r="I2311" i="57"/>
  <c r="I2393" i="57" s="1"/>
  <c r="D1937" i="57"/>
  <c r="D2219" i="57" s="1"/>
  <c r="D1913" i="57"/>
  <c r="D2190" i="57" s="1"/>
  <c r="D1949" i="57"/>
  <c r="D2232" i="57" s="1"/>
  <c r="D1925" i="57"/>
  <c r="D2207" i="57" s="1"/>
  <c r="D1968" i="57"/>
  <c r="D2252" i="57" s="1"/>
  <c r="D1947" i="57"/>
  <c r="D2230" i="57" s="1"/>
  <c r="D1923" i="57"/>
  <c r="D2205" i="57" s="1"/>
  <c r="D1966" i="57"/>
  <c r="D2250" i="57" s="1"/>
  <c r="G1938" i="57"/>
  <c r="G2220" i="57" s="1"/>
  <c r="G1914" i="57"/>
  <c r="G2191" i="57" s="1"/>
  <c r="I2312" i="57"/>
  <c r="I2396" i="57" s="1"/>
  <c r="I2314" i="57"/>
  <c r="I2400" i="57" s="1"/>
  <c r="D1945" i="57"/>
  <c r="D2228" i="57" s="1"/>
  <c r="D1921" i="57"/>
  <c r="D2203" i="57" s="1"/>
  <c r="D1964" i="57"/>
  <c r="D2248" i="57" s="1"/>
  <c r="D1963" i="57"/>
  <c r="D2247" i="57" s="1"/>
  <c r="D1944" i="57"/>
  <c r="D2227" i="57" s="1"/>
  <c r="D1920" i="57"/>
  <c r="D2202" i="57" s="1"/>
  <c r="D1938" i="57"/>
  <c r="D2220" i="57" s="1"/>
  <c r="D1914" i="57"/>
  <c r="D2191" i="57" s="1"/>
  <c r="E1914" i="57"/>
  <c r="E2191" i="57" s="1"/>
  <c r="E2289" i="57" s="1"/>
  <c r="E2377" i="57" s="1"/>
  <c r="E2548" i="57" s="1"/>
  <c r="E1938" i="57"/>
  <c r="E2220" i="57" s="1"/>
  <c r="H1938" i="57"/>
  <c r="H2220" i="57" s="1"/>
  <c r="H1914" i="57"/>
  <c r="H2191" i="57" s="1"/>
  <c r="J1938" i="57"/>
  <c r="J2220" i="57" s="1"/>
  <c r="C1921" i="57"/>
  <c r="C2203" i="57" s="1"/>
  <c r="H1649" i="57"/>
  <c r="H2315" i="57"/>
  <c r="H2401" i="57" s="1"/>
  <c r="H2313" i="57"/>
  <c r="H2397" i="57" s="1"/>
  <c r="B1722" i="57"/>
  <c r="H2314" i="57"/>
  <c r="H2400" i="57" s="1"/>
  <c r="J1914" i="57"/>
  <c r="J2191" i="57" s="1"/>
  <c r="J1966" i="57"/>
  <c r="J2250" i="57" s="1"/>
  <c r="J2313" i="57" s="1"/>
  <c r="J2397" i="57" s="1"/>
  <c r="G2681" i="57"/>
  <c r="K2693" i="57" s="1"/>
  <c r="J1949" i="57"/>
  <c r="J2232" i="57" s="1"/>
  <c r="C1967" i="57"/>
  <c r="C2251" i="57" s="1"/>
  <c r="J1922" i="57"/>
  <c r="J2204" i="57" s="1"/>
  <c r="J1946" i="57"/>
  <c r="J2229" i="57" s="1"/>
  <c r="J1923" i="57"/>
  <c r="J2205" i="57" s="1"/>
  <c r="C1922" i="57"/>
  <c r="C2204" i="57" s="1"/>
  <c r="C1937" i="57"/>
  <c r="C2219" i="57" s="1"/>
  <c r="C1924" i="57"/>
  <c r="C2206" i="57" s="1"/>
  <c r="F1723" i="57"/>
  <c r="F1921" i="57"/>
  <c r="F2203" i="57" s="1"/>
  <c r="F1964" i="57"/>
  <c r="F2248" i="57" s="1"/>
  <c r="F1945" i="57"/>
  <c r="F2228" i="57" s="1"/>
  <c r="B1938" i="57"/>
  <c r="B2220" i="57" s="1"/>
  <c r="B3038" i="57" s="1"/>
  <c r="B3184" i="57" s="1"/>
  <c r="B3483" i="57" s="1"/>
  <c r="B1914" i="57"/>
  <c r="B2191" i="57" s="1"/>
  <c r="B1968" i="57"/>
  <c r="B2252" i="57" s="1"/>
  <c r="B3073" i="57" s="1"/>
  <c r="B3551" i="57" s="1"/>
  <c r="B1949" i="57"/>
  <c r="B2232" i="57" s="1"/>
  <c r="B3050" i="57" s="1"/>
  <c r="B3507" i="57" s="1"/>
  <c r="B1925" i="57"/>
  <c r="B2207" i="57" s="1"/>
  <c r="H2312" i="57"/>
  <c r="H2396" i="57" s="1"/>
  <c r="C1946" i="57"/>
  <c r="C2229" i="57" s="1"/>
  <c r="G1649" i="57"/>
  <c r="F1649" i="57"/>
  <c r="H2311" i="57"/>
  <c r="H2393" i="57" s="1"/>
  <c r="AC1606" i="57"/>
  <c r="AC1891" i="57" s="1"/>
  <c r="Q1606" i="57"/>
  <c r="Q1891" i="57" s="1"/>
  <c r="T1606" i="57"/>
  <c r="T1891" i="57" s="1"/>
  <c r="AI1606" i="57"/>
  <c r="AI1891" i="57" s="1"/>
  <c r="L1606" i="57"/>
  <c r="L1891" i="57" s="1"/>
  <c r="W1606" i="57"/>
  <c r="W1891" i="57" s="1"/>
  <c r="P1606" i="57"/>
  <c r="P1891" i="57" s="1"/>
  <c r="AK1606" i="57"/>
  <c r="AK1891" i="57" s="1"/>
  <c r="X1606" i="57"/>
  <c r="X1891" i="57" s="1"/>
  <c r="S1606" i="57"/>
  <c r="S1891" i="57" s="1"/>
  <c r="AB1606" i="57"/>
  <c r="AB1891" i="57" s="1"/>
  <c r="O1606" i="57"/>
  <c r="O1891" i="57" s="1"/>
  <c r="U1606" i="57"/>
  <c r="U1891" i="57" s="1"/>
  <c r="D1606" i="57"/>
  <c r="D1891" i="57" s="1"/>
  <c r="M1606" i="57"/>
  <c r="M1891" i="57" s="1"/>
  <c r="AG1606" i="57"/>
  <c r="AG1891" i="57" s="1"/>
  <c r="AE1606" i="57"/>
  <c r="AE1891" i="57" s="1"/>
  <c r="H1606" i="57"/>
  <c r="H1891" i="57" s="1"/>
  <c r="Y1606" i="57"/>
  <c r="Y1891" i="57" s="1"/>
  <c r="E1606" i="57"/>
  <c r="E1891" i="57" s="1"/>
  <c r="AF1606" i="57"/>
  <c r="AF1891" i="57" s="1"/>
  <c r="K1606" i="57"/>
  <c r="K1891" i="57" s="1"/>
  <c r="C1606" i="57"/>
  <c r="C1891" i="57" s="1"/>
  <c r="AA1606" i="57"/>
  <c r="AA1891" i="57" s="1"/>
  <c r="G1606" i="57"/>
  <c r="G1891" i="57" s="1"/>
  <c r="AJ1606" i="57"/>
  <c r="AJ1891" i="57" s="1"/>
  <c r="F1923" i="57"/>
  <c r="F2205" i="57" s="1"/>
  <c r="F1966" i="57"/>
  <c r="F2250" i="57" s="1"/>
  <c r="F1947" i="57"/>
  <c r="F2230" i="57" s="1"/>
  <c r="F1967" i="57"/>
  <c r="F2251" i="57" s="1"/>
  <c r="F1948" i="57"/>
  <c r="F2231" i="57" s="1"/>
  <c r="F1924" i="57"/>
  <c r="F2206" i="57" s="1"/>
  <c r="C2120" i="57"/>
  <c r="T2132" i="57" s="1"/>
  <c r="F2102" i="57"/>
  <c r="B2120" i="57" s="1"/>
  <c r="S2132" i="57" s="1"/>
  <c r="B1922" i="57"/>
  <c r="B2204" i="57" s="1"/>
  <c r="B1965" i="57"/>
  <c r="B2249" i="57" s="1"/>
  <c r="B3070" i="57" s="1"/>
  <c r="B3546" i="57" s="1"/>
  <c r="B1946" i="57"/>
  <c r="B2229" i="57" s="1"/>
  <c r="B3047" i="57" s="1"/>
  <c r="B3502" i="57" s="1"/>
  <c r="B1923" i="57"/>
  <c r="B2205" i="57" s="1"/>
  <c r="B1966" i="57"/>
  <c r="B2250" i="57" s="1"/>
  <c r="B3071" i="57" s="1"/>
  <c r="B3547" i="57" s="1"/>
  <c r="B1947" i="57"/>
  <c r="B2230" i="57" s="1"/>
  <c r="B3048" i="57" s="1"/>
  <c r="B3503" i="57" s="1"/>
  <c r="H2310" i="57"/>
  <c r="H2392" i="57" s="1"/>
  <c r="F1938" i="57"/>
  <c r="F2220" i="57" s="1"/>
  <c r="F1914" i="57"/>
  <c r="F2191" i="57" s="1"/>
  <c r="F1944" i="57"/>
  <c r="F2227" i="57" s="1"/>
  <c r="F1963" i="57"/>
  <c r="F2247" i="57" s="1"/>
  <c r="F1920" i="57"/>
  <c r="F2202" i="57" s="1"/>
  <c r="B1913" i="57"/>
  <c r="B2190" i="57" s="1"/>
  <c r="B1937" i="57"/>
  <c r="B2219" i="57" s="1"/>
  <c r="B3037" i="57" s="1"/>
  <c r="B3183" i="57" s="1"/>
  <c r="B3482" i="57" s="1"/>
  <c r="B1921" i="57"/>
  <c r="B2203" i="57" s="1"/>
  <c r="B1964" i="57"/>
  <c r="B2248" i="57" s="1"/>
  <c r="B3069" i="57" s="1"/>
  <c r="B3543" i="57" s="1"/>
  <c r="B1945" i="57"/>
  <c r="B2228" i="57" s="1"/>
  <c r="B3046" i="57" s="1"/>
  <c r="B3499" i="57" s="1"/>
  <c r="F2098" i="57"/>
  <c r="B2116" i="57" s="1"/>
  <c r="C2132" i="57" s="1"/>
  <c r="C2116" i="57"/>
  <c r="D2132" i="57" s="1"/>
  <c r="F1937" i="57"/>
  <c r="F2219" i="57" s="1"/>
  <c r="F1913" i="57"/>
  <c r="F2190" i="57" s="1"/>
  <c r="F1965" i="57"/>
  <c r="F2249" i="57" s="1"/>
  <c r="F1946" i="57"/>
  <c r="F2229" i="57" s="1"/>
  <c r="F1922" i="57"/>
  <c r="F2204" i="57" s="1"/>
  <c r="F1949" i="57"/>
  <c r="F2232" i="57" s="1"/>
  <c r="F1925" i="57"/>
  <c r="F2207" i="57" s="1"/>
  <c r="F1968" i="57"/>
  <c r="F2252" i="57" s="1"/>
  <c r="B1924" i="57"/>
  <c r="B2206" i="57" s="1"/>
  <c r="B1948" i="57"/>
  <c r="B2231" i="57" s="1"/>
  <c r="B3049" i="57" s="1"/>
  <c r="B3506" i="57" s="1"/>
  <c r="B1967" i="57"/>
  <c r="B2251" i="57" s="1"/>
  <c r="B3072" i="57" s="1"/>
  <c r="B3550" i="57" s="1"/>
  <c r="B1920" i="57"/>
  <c r="B2202" i="57" s="1"/>
  <c r="B1944" i="57"/>
  <c r="B2227" i="57" s="1"/>
  <c r="B3045" i="57" s="1"/>
  <c r="B3498" i="57" s="1"/>
  <c r="B1963" i="57"/>
  <c r="B2247" i="57" s="1"/>
  <c r="B3068" i="57" s="1"/>
  <c r="B3542" i="57" s="1"/>
  <c r="J1913" i="57"/>
  <c r="J2190" i="57" s="1"/>
  <c r="J1937" i="57"/>
  <c r="J2219" i="57" s="1"/>
  <c r="B2531" i="57"/>
  <c r="I2531" i="57"/>
  <c r="J1649" i="57"/>
  <c r="D2531" i="57"/>
  <c r="AF1602" i="57"/>
  <c r="AF1740" i="57" s="1"/>
  <c r="D1602" i="57"/>
  <c r="D1740" i="57" s="1"/>
  <c r="AG1602" i="57"/>
  <c r="AG1740" i="57" s="1"/>
  <c r="W1602" i="57"/>
  <c r="W1740" i="57" s="1"/>
  <c r="L1602" i="57"/>
  <c r="L1740" i="57" s="1"/>
  <c r="AB1602" i="57"/>
  <c r="AB1740" i="57" s="1"/>
  <c r="T1602" i="57"/>
  <c r="T1740" i="57" s="1"/>
  <c r="H1602" i="57"/>
  <c r="H1740" i="57" s="1"/>
  <c r="AJ1602" i="57"/>
  <c r="AJ1740" i="57" s="1"/>
  <c r="U1602" i="57"/>
  <c r="U1740" i="57" s="1"/>
  <c r="AA1602" i="57"/>
  <c r="AA1740" i="57" s="1"/>
  <c r="AE1602" i="57"/>
  <c r="AE1740" i="57" s="1"/>
  <c r="E1602" i="57"/>
  <c r="E1740" i="57" s="1"/>
  <c r="AK1602" i="57"/>
  <c r="AK1740" i="57" s="1"/>
  <c r="AC1602" i="57"/>
  <c r="AC1740" i="57" s="1"/>
  <c r="O1602" i="57"/>
  <c r="O1740" i="57" s="1"/>
  <c r="Y1602" i="57"/>
  <c r="Y1740" i="57" s="1"/>
  <c r="S1602" i="57"/>
  <c r="S1740" i="57" s="1"/>
  <c r="AI1602" i="57"/>
  <c r="AI1740" i="57" s="1"/>
  <c r="Q1602" i="57"/>
  <c r="Q1740" i="57" s="1"/>
  <c r="P1602" i="57"/>
  <c r="P1740" i="57" s="1"/>
  <c r="M1602" i="57"/>
  <c r="M1740" i="57" s="1"/>
  <c r="G1602" i="57"/>
  <c r="G1740" i="57" s="1"/>
  <c r="X1602" i="57"/>
  <c r="X1740" i="57" s="1"/>
  <c r="C1602" i="57"/>
  <c r="C1740" i="57" s="1"/>
  <c r="K1602" i="57"/>
  <c r="K1740" i="57" s="1"/>
  <c r="D1759" i="57" s="1"/>
  <c r="B2083" i="57"/>
  <c r="O2143" i="57" s="1"/>
  <c r="D1649" i="57"/>
  <c r="B1750" i="57"/>
  <c r="E1518" i="57"/>
  <c r="B1544" i="57" s="1"/>
  <c r="C1544" i="57" s="1"/>
  <c r="E3279" i="57"/>
  <c r="E3298" i="57" s="1"/>
  <c r="D3279" i="57"/>
  <c r="D3298" i="57" s="1"/>
  <c r="C3279" i="57"/>
  <c r="B3279" i="57"/>
  <c r="B3298" i="57" s="1"/>
  <c r="E2531" i="57"/>
  <c r="G2531" i="57"/>
  <c r="F2531" i="57"/>
  <c r="J2315" i="57"/>
  <c r="J2401" i="57" s="1"/>
  <c r="J2314" i="57"/>
  <c r="J2400" i="57" s="1"/>
  <c r="C2288" i="57"/>
  <c r="C2376" i="57" s="1"/>
  <c r="C2547" i="57" s="1"/>
  <c r="C1649" i="57"/>
  <c r="C1918" i="57"/>
  <c r="C2195" i="57" s="1"/>
  <c r="C1961" i="57"/>
  <c r="C2244" i="57" s="1"/>
  <c r="C1942" i="57"/>
  <c r="C2224" i="57" s="1"/>
  <c r="H1918" i="57"/>
  <c r="H2195" i="57" s="1"/>
  <c r="H1961" i="57"/>
  <c r="H2244" i="57" s="1"/>
  <c r="H1942" i="57"/>
  <c r="H2224" i="57" s="1"/>
  <c r="B1676" i="57"/>
  <c r="B1788" i="57" s="1"/>
  <c r="E1495" i="57"/>
  <c r="B1538" i="57" s="1"/>
  <c r="C1538" i="57" s="1"/>
  <c r="H2531" i="57"/>
  <c r="I1599" i="57"/>
  <c r="I1884" i="57" s="1"/>
  <c r="L1599" i="57"/>
  <c r="L1884" i="57" s="1"/>
  <c r="AG1599" i="57"/>
  <c r="AG1884" i="57" s="1"/>
  <c r="AK1599" i="57"/>
  <c r="AK1884" i="57" s="1"/>
  <c r="M1599" i="57"/>
  <c r="M1884" i="57" s="1"/>
  <c r="E1599" i="57"/>
  <c r="E1884" i="57" s="1"/>
  <c r="AC1599" i="57"/>
  <c r="AC1884" i="57" s="1"/>
  <c r="AB1599" i="57"/>
  <c r="AB1884" i="57" s="1"/>
  <c r="P1599" i="57"/>
  <c r="P1884" i="57" s="1"/>
  <c r="T1599" i="57"/>
  <c r="T1884" i="57" s="1"/>
  <c r="Y1599" i="57"/>
  <c r="Y1884" i="57" s="1"/>
  <c r="AF1599" i="57"/>
  <c r="AF1884" i="57" s="1"/>
  <c r="K1599" i="57"/>
  <c r="K1884" i="57" s="1"/>
  <c r="AE1599" i="57"/>
  <c r="AE1884" i="57" s="1"/>
  <c r="O1599" i="57"/>
  <c r="O1884" i="57" s="1"/>
  <c r="W1599" i="57"/>
  <c r="W1884" i="57" s="1"/>
  <c r="Q1599" i="57"/>
  <c r="Q1884" i="57" s="1"/>
  <c r="U1599" i="57"/>
  <c r="U1884" i="57" s="1"/>
  <c r="H1599" i="57"/>
  <c r="H1884" i="57" s="1"/>
  <c r="X1599" i="57"/>
  <c r="X1884" i="57" s="1"/>
  <c r="AJ1599" i="57"/>
  <c r="AJ1884" i="57" s="1"/>
  <c r="D1599" i="57"/>
  <c r="D1884" i="57" s="1"/>
  <c r="AA1599" i="57"/>
  <c r="AA1884" i="57" s="1"/>
  <c r="S1599" i="57"/>
  <c r="S1884" i="57" s="1"/>
  <c r="G1599" i="57"/>
  <c r="G1884" i="57" s="1"/>
  <c r="AI1599" i="57"/>
  <c r="AI1884" i="57" s="1"/>
  <c r="C1599" i="57"/>
  <c r="C1884" i="57" s="1"/>
  <c r="C2315" i="57"/>
  <c r="C2401" i="57" s="1"/>
  <c r="J2311" i="57"/>
  <c r="J2393" i="57" s="1"/>
  <c r="I1649" i="57"/>
  <c r="D1918" i="57"/>
  <c r="D2195" i="57" s="1"/>
  <c r="D1961" i="57"/>
  <c r="D2244" i="57" s="1"/>
  <c r="D1942" i="57"/>
  <c r="D2224" i="57" s="1"/>
  <c r="G1918" i="57"/>
  <c r="G2195" i="57" s="1"/>
  <c r="G1961" i="57"/>
  <c r="G2244" i="57" s="1"/>
  <c r="G1942" i="57"/>
  <c r="G2224" i="57" s="1"/>
  <c r="F1961" i="57"/>
  <c r="F2244" i="57" s="1"/>
  <c r="F1942" i="57"/>
  <c r="F2224" i="57" s="1"/>
  <c r="F1918" i="57"/>
  <c r="F2195" i="57" s="1"/>
  <c r="C3298" i="57"/>
  <c r="J2531" i="57"/>
  <c r="C2310" i="57"/>
  <c r="C2392" i="57" s="1"/>
  <c r="J2310" i="57"/>
  <c r="J2392" i="57" s="1"/>
  <c r="J2289" i="57"/>
  <c r="J2377" i="57" s="1"/>
  <c r="J2548" i="57" s="1"/>
  <c r="E1649" i="57"/>
  <c r="J1918" i="57"/>
  <c r="J2195" i="57" s="1"/>
  <c r="J1961" i="57"/>
  <c r="J2244" i="57" s="1"/>
  <c r="J1942" i="57"/>
  <c r="J2224" i="57" s="1"/>
  <c r="B1942" i="57"/>
  <c r="B2224" i="57" s="1"/>
  <c r="B3042" i="57" s="1"/>
  <c r="B3188" i="57" s="1"/>
  <c r="B3487" i="57" s="1"/>
  <c r="B1961" i="57"/>
  <c r="B2244" i="57" s="1"/>
  <c r="B3065" i="57" s="1"/>
  <c r="B3202" i="57" s="1"/>
  <c r="B3531" i="57" s="1"/>
  <c r="B1918" i="57"/>
  <c r="B2195" i="57" s="1"/>
  <c r="C2531" i="57"/>
  <c r="B1675" i="57"/>
  <c r="B1787" i="57" s="1"/>
  <c r="E1494" i="57"/>
  <c r="B1535" i="57" s="1"/>
  <c r="C1535" i="57" s="1"/>
  <c r="C2311" i="57"/>
  <c r="C2393" i="57" s="1"/>
  <c r="C2289" i="57"/>
  <c r="C2377" i="57" s="1"/>
  <c r="C2548" i="57" s="1"/>
  <c r="C2313" i="57"/>
  <c r="C2397" i="57" s="1"/>
  <c r="C2312" i="57"/>
  <c r="C2396" i="57" s="1"/>
  <c r="E1942" i="57"/>
  <c r="E2224" i="57" s="1"/>
  <c r="E1918" i="57"/>
  <c r="E2195" i="57" s="1"/>
  <c r="E1961" i="57"/>
  <c r="E2244" i="57" s="1"/>
  <c r="I1961" i="57"/>
  <c r="I2244" i="57" s="1"/>
  <c r="I1942" i="57"/>
  <c r="I2224" i="57" s="1"/>
  <c r="I1918" i="57"/>
  <c r="I2195" i="57" s="1"/>
  <c r="G85" i="38"/>
  <c r="G81" i="38"/>
  <c r="G77" i="38"/>
  <c r="G73" i="38"/>
  <c r="G69" i="38"/>
  <c r="G94" i="38"/>
  <c r="G84" i="38"/>
  <c r="G80" i="38"/>
  <c r="G76" i="38"/>
  <c r="G72" i="38"/>
  <c r="G68" i="38"/>
  <c r="H66" i="38"/>
  <c r="G86" i="38"/>
  <c r="G78" i="38"/>
  <c r="G70" i="38"/>
  <c r="G83" i="38"/>
  <c r="G75" i="38"/>
  <c r="G82" i="38"/>
  <c r="G74" i="38"/>
  <c r="G87" i="38"/>
  <c r="G79" i="38"/>
  <c r="G71" i="38"/>
  <c r="I2337" i="57"/>
  <c r="E2337" i="57"/>
  <c r="G2337" i="57"/>
  <c r="B2337" i="57"/>
  <c r="H2337" i="57"/>
  <c r="C1519" i="57"/>
  <c r="D2337" i="57"/>
  <c r="C2337" i="57"/>
  <c r="D1519" i="57"/>
  <c r="F2337" i="57"/>
  <c r="B1519" i="57"/>
  <c r="E1519" i="57" s="1"/>
  <c r="B1545" i="57" s="1"/>
  <c r="C1545" i="57" s="1"/>
  <c r="J2337" i="57"/>
  <c r="H85" i="37"/>
  <c r="H87" i="37"/>
  <c r="H77" i="37"/>
  <c r="H69" i="37"/>
  <c r="H76" i="37"/>
  <c r="I66" i="37"/>
  <c r="H81" i="37"/>
  <c r="H84" i="37"/>
  <c r="H74" i="37"/>
  <c r="H86" i="37"/>
  <c r="H73" i="37"/>
  <c r="H75" i="37"/>
  <c r="H71" i="37"/>
  <c r="H68" i="37"/>
  <c r="H82" i="37"/>
  <c r="H83" i="37"/>
  <c r="H94" i="37"/>
  <c r="H78" i="37"/>
  <c r="H79" i="37"/>
  <c r="H80" i="37"/>
  <c r="H72" i="37"/>
  <c r="H70" i="37"/>
  <c r="G66" i="35"/>
  <c r="F86" i="35"/>
  <c r="F82" i="35"/>
  <c r="F78" i="35"/>
  <c r="F74" i="35"/>
  <c r="F70" i="35"/>
  <c r="F85" i="35"/>
  <c r="F81" i="35"/>
  <c r="F77" i="35"/>
  <c r="F73" i="35"/>
  <c r="F69" i="35"/>
  <c r="F87" i="35"/>
  <c r="F79" i="35"/>
  <c r="F71" i="35"/>
  <c r="F84" i="35"/>
  <c r="F76" i="35"/>
  <c r="F68" i="35"/>
  <c r="F83" i="35"/>
  <c r="F75" i="35"/>
  <c r="F94" i="35"/>
  <c r="F80" i="35"/>
  <c r="F72" i="35"/>
  <c r="C153" i="38"/>
  <c r="B153" i="37"/>
  <c r="C153" i="37"/>
  <c r="E153" i="35"/>
  <c r="E153" i="38"/>
  <c r="E153" i="36"/>
  <c r="C153" i="35"/>
  <c r="B153" i="38"/>
  <c r="C153" i="36"/>
  <c r="B153" i="35"/>
  <c r="E153" i="37"/>
  <c r="B153" i="36"/>
  <c r="C153" i="34"/>
  <c r="E153" i="34"/>
  <c r="B153" i="34"/>
  <c r="B113" i="41"/>
  <c r="H84" i="34"/>
  <c r="H80" i="34"/>
  <c r="H76" i="34"/>
  <c r="H72" i="34"/>
  <c r="H68" i="34"/>
  <c r="H87" i="34"/>
  <c r="H79" i="34"/>
  <c r="H75" i="34"/>
  <c r="I66" i="34"/>
  <c r="H83" i="34"/>
  <c r="H71" i="34"/>
  <c r="H81" i="34"/>
  <c r="H73" i="34"/>
  <c r="H69" i="34"/>
  <c r="H86" i="34"/>
  <c r="H78" i="34"/>
  <c r="H70" i="34"/>
  <c r="H77" i="34"/>
  <c r="H85" i="34"/>
  <c r="H94" i="34"/>
  <c r="H82" i="34"/>
  <c r="H74" i="34"/>
  <c r="B700" i="57"/>
  <c r="B715" i="57" s="1"/>
  <c r="B731" i="57" s="1"/>
  <c r="B714" i="57"/>
  <c r="B730" i="57" s="1"/>
  <c r="D1788" i="57"/>
  <c r="C1788" i="57"/>
  <c r="D1787" i="57"/>
  <c r="C1787" i="57"/>
  <c r="AC1593" i="57" l="1"/>
  <c r="AC1620" i="57" s="1"/>
  <c r="W1593" i="57"/>
  <c r="W1620" i="57" s="1"/>
  <c r="X1593" i="57"/>
  <c r="X1620" i="57" s="1"/>
  <c r="O1593" i="57"/>
  <c r="O1620" i="57" s="1"/>
  <c r="AG1593" i="57"/>
  <c r="AG1620" i="57" s="1"/>
  <c r="AB1593" i="57"/>
  <c r="AB1620" i="57" s="1"/>
  <c r="AE1593" i="57"/>
  <c r="AE1620" i="57" s="1"/>
  <c r="AF1593" i="57"/>
  <c r="AF1620" i="57" s="1"/>
  <c r="H1593" i="57"/>
  <c r="H1620" i="57" s="1"/>
  <c r="K1593" i="57"/>
  <c r="K1620" i="57" s="1"/>
  <c r="U1593" i="57"/>
  <c r="U1620" i="57" s="1"/>
  <c r="Y1593" i="57"/>
  <c r="Y1620" i="57" s="1"/>
  <c r="AA1593" i="57"/>
  <c r="AA1620" i="57" s="1"/>
  <c r="P1593" i="57"/>
  <c r="P1620" i="57" s="1"/>
  <c r="Q1593" i="57"/>
  <c r="Q1620" i="57" s="1"/>
  <c r="L1593" i="57"/>
  <c r="L1620" i="57" s="1"/>
  <c r="G1593" i="57"/>
  <c r="G1620" i="57" s="1"/>
  <c r="M1593" i="57"/>
  <c r="M1620" i="57" s="1"/>
  <c r="AI1593" i="57"/>
  <c r="AI1620" i="57" s="1"/>
  <c r="AJ1593" i="57"/>
  <c r="AJ1620" i="57" s="1"/>
  <c r="D1593" i="57"/>
  <c r="D1620" i="57" s="1"/>
  <c r="E1593" i="57"/>
  <c r="E1620" i="57" s="1"/>
  <c r="S1593" i="57"/>
  <c r="S1620" i="57" s="1"/>
  <c r="F1648" i="57" s="1"/>
  <c r="T1593" i="57"/>
  <c r="T1620" i="57" s="1"/>
  <c r="AK1593" i="57"/>
  <c r="AK1620" i="57" s="1"/>
  <c r="C1593" i="57"/>
  <c r="C1620" i="57" s="1"/>
  <c r="B1648" i="57" s="1"/>
  <c r="I1593" i="57"/>
  <c r="I1620" i="57" s="1"/>
  <c r="H2289" i="57"/>
  <c r="H2377" i="57" s="1"/>
  <c r="H2548" i="57" s="1"/>
  <c r="F1759" i="57"/>
  <c r="D2289" i="57"/>
  <c r="D2377" i="57" s="1"/>
  <c r="D2548" i="57" s="1"/>
  <c r="D2312" i="57"/>
  <c r="D2396" i="57" s="1"/>
  <c r="C1943" i="57"/>
  <c r="C2225" i="57" s="1"/>
  <c r="C2314" i="57"/>
  <c r="C2400" i="57" s="1"/>
  <c r="D2310" i="57"/>
  <c r="D2392" i="57" s="1"/>
  <c r="D2311" i="57"/>
  <c r="D2393" i="57" s="1"/>
  <c r="G2289" i="57"/>
  <c r="G2377" i="57" s="1"/>
  <c r="G2548" i="57" s="1"/>
  <c r="D2288" i="57"/>
  <c r="D2376" i="57" s="1"/>
  <c r="D2547" i="57" s="1"/>
  <c r="D2315" i="57"/>
  <c r="D2401" i="57" s="1"/>
  <c r="D2313" i="57"/>
  <c r="D2397" i="57" s="1"/>
  <c r="J2312" i="57"/>
  <c r="J2396" i="57" s="1"/>
  <c r="C1759" i="57"/>
  <c r="J2288" i="57"/>
  <c r="J2376" i="57" s="1"/>
  <c r="J2547" i="57" s="1"/>
  <c r="C1919" i="57"/>
  <c r="C2196" i="57" s="1"/>
  <c r="AC2143" i="57"/>
  <c r="X2143" i="57"/>
  <c r="AG2143" i="57"/>
  <c r="AF2143" i="57"/>
  <c r="F2288" i="57"/>
  <c r="F2376" i="57" s="1"/>
  <c r="F2547" i="57" s="1"/>
  <c r="F2289" i="57"/>
  <c r="F2377" i="57" s="1"/>
  <c r="F2548" i="57" s="1"/>
  <c r="AK2143" i="57"/>
  <c r="AB2143" i="57"/>
  <c r="Y2143" i="57"/>
  <c r="F2314" i="57"/>
  <c r="F2400" i="57" s="1"/>
  <c r="F2311" i="57"/>
  <c r="F2393" i="57" s="1"/>
  <c r="M2143" i="57"/>
  <c r="I2143" i="57"/>
  <c r="H2143" i="57"/>
  <c r="G2143" i="57"/>
  <c r="B1759" i="57"/>
  <c r="B2314" i="57"/>
  <c r="B2400" i="57" s="1"/>
  <c r="B3021" i="57"/>
  <c r="B3462" i="57" s="1"/>
  <c r="F2312" i="57"/>
  <c r="F2396" i="57" s="1"/>
  <c r="F2310" i="57"/>
  <c r="F2392" i="57" s="1"/>
  <c r="B3020" i="57"/>
  <c r="B3459" i="57" s="1"/>
  <c r="B2313" i="57"/>
  <c r="B2397" i="57" s="1"/>
  <c r="F2313" i="57"/>
  <c r="F2397" i="57" s="1"/>
  <c r="B1919" i="57"/>
  <c r="B2196" i="57" s="1"/>
  <c r="B1962" i="57"/>
  <c r="B2245" i="57" s="1"/>
  <c r="B3066" i="57" s="1"/>
  <c r="B3203" i="57" s="1"/>
  <c r="B3532" i="57" s="1"/>
  <c r="B1943" i="57"/>
  <c r="B2225" i="57" s="1"/>
  <c r="B3043" i="57" s="1"/>
  <c r="B3189" i="57" s="1"/>
  <c r="B3488" i="57" s="1"/>
  <c r="B2315" i="57"/>
  <c r="B2401" i="57" s="1"/>
  <c r="B3022" i="57"/>
  <c r="B3463" i="57" s="1"/>
  <c r="E2143" i="57"/>
  <c r="U2143" i="57"/>
  <c r="L2143" i="57"/>
  <c r="I1759" i="57"/>
  <c r="B2310" i="57"/>
  <c r="B2392" i="57" s="1"/>
  <c r="B3017" i="57"/>
  <c r="B3454" i="57" s="1"/>
  <c r="B3018" i="57"/>
  <c r="B3455" i="57" s="1"/>
  <c r="B2311" i="57"/>
  <c r="B2393" i="57" s="1"/>
  <c r="J1919" i="57"/>
  <c r="J2196" i="57" s="1"/>
  <c r="D1919" i="57"/>
  <c r="D2196" i="57" s="1"/>
  <c r="D1962" i="57"/>
  <c r="D2245" i="57" s="1"/>
  <c r="D1943" i="57"/>
  <c r="D2225" i="57" s="1"/>
  <c r="F1962" i="57"/>
  <c r="F2245" i="57" s="1"/>
  <c r="F1919" i="57"/>
  <c r="F2196" i="57" s="1"/>
  <c r="F1943" i="57"/>
  <c r="F2225" i="57" s="1"/>
  <c r="G1919" i="57"/>
  <c r="G2196" i="57" s="1"/>
  <c r="G1962" i="57"/>
  <c r="G2245" i="57" s="1"/>
  <c r="G1943" i="57"/>
  <c r="G2225" i="57" s="1"/>
  <c r="C1962" i="57"/>
  <c r="C2245" i="57" s="1"/>
  <c r="J1759" i="57"/>
  <c r="F2315" i="57"/>
  <c r="F2401" i="57" s="1"/>
  <c r="I1943" i="57"/>
  <c r="I2225" i="57" s="1"/>
  <c r="I1919" i="57"/>
  <c r="I2196" i="57" s="1"/>
  <c r="I1962" i="57"/>
  <c r="I2245" i="57" s="1"/>
  <c r="B3005" i="57"/>
  <c r="B3160" i="57" s="1"/>
  <c r="B3438" i="57" s="1"/>
  <c r="B2288" i="57"/>
  <c r="B2376" i="57" s="1"/>
  <c r="B2547" i="57" s="1"/>
  <c r="B3019" i="57"/>
  <c r="B3458" i="57" s="1"/>
  <c r="B2312" i="57"/>
  <c r="B2396" i="57" s="1"/>
  <c r="H1919" i="57"/>
  <c r="H2196" i="57" s="1"/>
  <c r="H1962" i="57"/>
  <c r="H2245" i="57" s="1"/>
  <c r="H1943" i="57"/>
  <c r="H2225" i="57" s="1"/>
  <c r="E1919" i="57"/>
  <c r="E2196" i="57" s="1"/>
  <c r="E1962" i="57"/>
  <c r="E2245" i="57" s="1"/>
  <c r="E1943" i="57"/>
  <c r="E2225" i="57" s="1"/>
  <c r="J1943" i="57"/>
  <c r="J2225" i="57" s="1"/>
  <c r="J1962" i="57"/>
  <c r="J2245" i="57" s="1"/>
  <c r="B3006" i="57"/>
  <c r="B3161" i="57" s="1"/>
  <c r="B3439" i="57" s="1"/>
  <c r="B2289" i="57"/>
  <c r="B2377" i="57" s="1"/>
  <c r="B2548" i="57" s="1"/>
  <c r="P2143" i="57"/>
  <c r="K2143" i="57"/>
  <c r="D2155" i="57" s="1"/>
  <c r="D2200" i="57" s="1"/>
  <c r="Q2143" i="57"/>
  <c r="E2155" i="57" s="1"/>
  <c r="E2200" i="57" s="1"/>
  <c r="AJ2143" i="57"/>
  <c r="D2143" i="57"/>
  <c r="AA2143" i="57"/>
  <c r="H2156" i="57" s="1"/>
  <c r="H2201" i="57" s="1"/>
  <c r="H1759" i="57"/>
  <c r="B759" i="57"/>
  <c r="B776" i="57" s="1"/>
  <c r="D2942" i="57" s="1"/>
  <c r="T2143" i="57"/>
  <c r="AI2143" i="57"/>
  <c r="J2154" i="57" s="1"/>
  <c r="J2199" i="57" s="1"/>
  <c r="C2143" i="57"/>
  <c r="B2154" i="57" s="1"/>
  <c r="B2199" i="57" s="1"/>
  <c r="W2143" i="57"/>
  <c r="AE2143" i="57"/>
  <c r="S2143" i="57"/>
  <c r="E1759" i="57"/>
  <c r="G1759" i="57"/>
  <c r="B3315" i="57"/>
  <c r="B3308" i="57"/>
  <c r="B3325" i="57" s="1"/>
  <c r="B3564" i="57" s="1"/>
  <c r="B3314" i="57"/>
  <c r="B3331" i="57" s="1"/>
  <c r="B3572" i="57" s="1"/>
  <c r="B3307" i="57"/>
  <c r="B3313" i="57"/>
  <c r="B3330" i="57" s="1"/>
  <c r="B3571" i="57" s="1"/>
  <c r="B3311" i="57"/>
  <c r="B3310" i="57"/>
  <c r="B3312" i="57"/>
  <c r="B3309" i="57"/>
  <c r="B765" i="57"/>
  <c r="I2307" i="57"/>
  <c r="I2381" i="57" s="1"/>
  <c r="I2552" i="57" s="1"/>
  <c r="E2307" i="57"/>
  <c r="E2381" i="57" s="1"/>
  <c r="E2552" i="57" s="1"/>
  <c r="J2307" i="57"/>
  <c r="J2381" i="57" s="1"/>
  <c r="J2552" i="57" s="1"/>
  <c r="B763" i="57"/>
  <c r="B762" i="57"/>
  <c r="B1912" i="57"/>
  <c r="B2189" i="57" s="1"/>
  <c r="B1936" i="57"/>
  <c r="B2218" i="57" s="1"/>
  <c r="B3036" i="57" s="1"/>
  <c r="B3182" i="57" s="1"/>
  <c r="B3481" i="57" s="1"/>
  <c r="H1912" i="57"/>
  <c r="H2189" i="57" s="1"/>
  <c r="H1936" i="57"/>
  <c r="H2218" i="57" s="1"/>
  <c r="E1936" i="57"/>
  <c r="E2218" i="57" s="1"/>
  <c r="E1912" i="57"/>
  <c r="E2189" i="57" s="1"/>
  <c r="H2307" i="57"/>
  <c r="H2381" i="57" s="1"/>
  <c r="H2552" i="57" s="1"/>
  <c r="Q1603" i="57"/>
  <c r="Q1741" i="57" s="1"/>
  <c r="U1603" i="57"/>
  <c r="U1741" i="57" s="1"/>
  <c r="E1603" i="57"/>
  <c r="E1741" i="57" s="1"/>
  <c r="AF1603" i="57"/>
  <c r="AF1741" i="57" s="1"/>
  <c r="AJ1603" i="57"/>
  <c r="AJ1741" i="57" s="1"/>
  <c r="AG1603" i="57"/>
  <c r="AG1741" i="57" s="1"/>
  <c r="AK1603" i="57"/>
  <c r="AK1741" i="57" s="1"/>
  <c r="M1603" i="57"/>
  <c r="M1741" i="57" s="1"/>
  <c r="I1603" i="57"/>
  <c r="I1741" i="57" s="1"/>
  <c r="L1603" i="57"/>
  <c r="L1741" i="57" s="1"/>
  <c r="D1603" i="57"/>
  <c r="D1741" i="57" s="1"/>
  <c r="G1603" i="57"/>
  <c r="G1741" i="57" s="1"/>
  <c r="O1603" i="57"/>
  <c r="O1741" i="57" s="1"/>
  <c r="S1603" i="57"/>
  <c r="S1741" i="57" s="1"/>
  <c r="AC1603" i="57"/>
  <c r="AC1741" i="57" s="1"/>
  <c r="AB1603" i="57"/>
  <c r="AB1741" i="57" s="1"/>
  <c r="X1603" i="57"/>
  <c r="X1741" i="57" s="1"/>
  <c r="AA1603" i="57"/>
  <c r="AA1741" i="57" s="1"/>
  <c r="Y1603" i="57"/>
  <c r="Y1741" i="57" s="1"/>
  <c r="P1603" i="57"/>
  <c r="P1741" i="57" s="1"/>
  <c r="H1603" i="57"/>
  <c r="H1741" i="57" s="1"/>
  <c r="T1603" i="57"/>
  <c r="T1741" i="57" s="1"/>
  <c r="W1603" i="57"/>
  <c r="W1741" i="57" s="1"/>
  <c r="C1603" i="57"/>
  <c r="C1741" i="57" s="1"/>
  <c r="AE1603" i="57"/>
  <c r="AE1741" i="57" s="1"/>
  <c r="K1603" i="57"/>
  <c r="K1741" i="57" s="1"/>
  <c r="AI1603" i="57"/>
  <c r="AI1741" i="57" s="1"/>
  <c r="D2152" i="57"/>
  <c r="D2197" i="57" s="1"/>
  <c r="D2174" i="57"/>
  <c r="D2246" i="57" s="1"/>
  <c r="H2174" i="57"/>
  <c r="H2246" i="57" s="1"/>
  <c r="B761" i="57"/>
  <c r="J1912" i="57"/>
  <c r="J2189" i="57" s="1"/>
  <c r="J1936" i="57"/>
  <c r="J2218" i="57" s="1"/>
  <c r="I1936" i="57"/>
  <c r="I2218" i="57" s="1"/>
  <c r="I1912" i="57"/>
  <c r="I2189" i="57" s="1"/>
  <c r="J2165" i="57"/>
  <c r="J2226" i="57" s="1"/>
  <c r="J2152" i="57"/>
  <c r="J2197" i="57" s="1"/>
  <c r="B2174" i="57"/>
  <c r="B2246" i="57" s="1"/>
  <c r="B3067" i="57" s="1"/>
  <c r="B758" i="57"/>
  <c r="F2307" i="57"/>
  <c r="F2381" i="57" s="1"/>
  <c r="F2552" i="57" s="1"/>
  <c r="D2307" i="57"/>
  <c r="D2381" i="57" s="1"/>
  <c r="D2552" i="57" s="1"/>
  <c r="C1936" i="57"/>
  <c r="C2218" i="57" s="1"/>
  <c r="C1912" i="57"/>
  <c r="C2189" i="57" s="1"/>
  <c r="D1912" i="57"/>
  <c r="D2189" i="57" s="1"/>
  <c r="D1936" i="57"/>
  <c r="D2218" i="57" s="1"/>
  <c r="I1597" i="57"/>
  <c r="I1667" i="57" s="1"/>
  <c r="M1597" i="57"/>
  <c r="M1667" i="57" s="1"/>
  <c r="AJ1597" i="57"/>
  <c r="AJ1667" i="57" s="1"/>
  <c r="T1597" i="57"/>
  <c r="T1667" i="57" s="1"/>
  <c r="H1597" i="57"/>
  <c r="H1667" i="57" s="1"/>
  <c r="Y1597" i="57"/>
  <c r="Y1667" i="57" s="1"/>
  <c r="E1597" i="57"/>
  <c r="E1667" i="57" s="1"/>
  <c r="AG1597" i="57"/>
  <c r="AG1667" i="57" s="1"/>
  <c r="D1597" i="57"/>
  <c r="D1667" i="57" s="1"/>
  <c r="X1597" i="57"/>
  <c r="X1667" i="57" s="1"/>
  <c r="AB1597" i="57"/>
  <c r="AB1667" i="57" s="1"/>
  <c r="AC1597" i="57"/>
  <c r="AC1667" i="57" s="1"/>
  <c r="S1597" i="57"/>
  <c r="S1667" i="57" s="1"/>
  <c r="Q1597" i="57"/>
  <c r="Q1667" i="57" s="1"/>
  <c r="AK1597" i="57"/>
  <c r="AK1667" i="57" s="1"/>
  <c r="AF1597" i="57"/>
  <c r="AF1667" i="57" s="1"/>
  <c r="L1597" i="57"/>
  <c r="L1667" i="57" s="1"/>
  <c r="C1597" i="57"/>
  <c r="C1667" i="57" s="1"/>
  <c r="AA1597" i="57"/>
  <c r="AA1667" i="57" s="1"/>
  <c r="W1597" i="57"/>
  <c r="W1667" i="57" s="1"/>
  <c r="U1597" i="57"/>
  <c r="U1667" i="57" s="1"/>
  <c r="P1597" i="57"/>
  <c r="P1667" i="57" s="1"/>
  <c r="O1597" i="57"/>
  <c r="O1667" i="57" s="1"/>
  <c r="AI1597" i="57"/>
  <c r="AI1667" i="57" s="1"/>
  <c r="G1597" i="57"/>
  <c r="G1667" i="57" s="1"/>
  <c r="C1686" i="57" s="1"/>
  <c r="C1774" i="57" s="1"/>
  <c r="K1597" i="57"/>
  <c r="K1667" i="57" s="1"/>
  <c r="AE1597" i="57"/>
  <c r="AE1667" i="57" s="1"/>
  <c r="C2153" i="57"/>
  <c r="C2198" i="57" s="1"/>
  <c r="C2152" i="57"/>
  <c r="C2197" i="57" s="1"/>
  <c r="G2174" i="57"/>
  <c r="G2246" i="57" s="1"/>
  <c r="I2152" i="57"/>
  <c r="I2197" i="57" s="1"/>
  <c r="I2155" i="57"/>
  <c r="I2200" i="57" s="1"/>
  <c r="I2154" i="57"/>
  <c r="I2199" i="57" s="1"/>
  <c r="I2165" i="57"/>
  <c r="I2226" i="57" s="1"/>
  <c r="I2153" i="57"/>
  <c r="I2198" i="57" s="1"/>
  <c r="I2174" i="57"/>
  <c r="I2246" i="57" s="1"/>
  <c r="I2156" i="57"/>
  <c r="I2201" i="57" s="1"/>
  <c r="AG1604" i="57"/>
  <c r="AG1889" i="57" s="1"/>
  <c r="X1604" i="57"/>
  <c r="X1889" i="57" s="1"/>
  <c r="L1604" i="57"/>
  <c r="L1889" i="57" s="1"/>
  <c r="AC1604" i="57"/>
  <c r="AC1889" i="57" s="1"/>
  <c r="U1604" i="57"/>
  <c r="U1889" i="57" s="1"/>
  <c r="H1604" i="57"/>
  <c r="H1889" i="57" s="1"/>
  <c r="AB1604" i="57"/>
  <c r="AB1889" i="57" s="1"/>
  <c r="AF1604" i="57"/>
  <c r="AF1889" i="57" s="1"/>
  <c r="M1604" i="57"/>
  <c r="M1889" i="57" s="1"/>
  <c r="Q1604" i="57"/>
  <c r="Q1889" i="57" s="1"/>
  <c r="AI1604" i="57"/>
  <c r="AI1889" i="57" s="1"/>
  <c r="I1604" i="57"/>
  <c r="I1889" i="57" s="1"/>
  <c r="E1604" i="57"/>
  <c r="E1889" i="57" s="1"/>
  <c r="Y1604" i="57"/>
  <c r="Y1889" i="57" s="1"/>
  <c r="AJ1604" i="57"/>
  <c r="AJ1889" i="57" s="1"/>
  <c r="S1604" i="57"/>
  <c r="S1889" i="57" s="1"/>
  <c r="AE1604" i="57"/>
  <c r="AE1889" i="57" s="1"/>
  <c r="AA1604" i="57"/>
  <c r="AA1889" i="57" s="1"/>
  <c r="AK1604" i="57"/>
  <c r="AK1889" i="57" s="1"/>
  <c r="T1604" i="57"/>
  <c r="T1889" i="57" s="1"/>
  <c r="P1604" i="57"/>
  <c r="P1889" i="57" s="1"/>
  <c r="D1604" i="57"/>
  <c r="D1889" i="57" s="1"/>
  <c r="G1604" i="57"/>
  <c r="G1889" i="57" s="1"/>
  <c r="K1604" i="57"/>
  <c r="K1889" i="57" s="1"/>
  <c r="O1604" i="57"/>
  <c r="O1889" i="57" s="1"/>
  <c r="C1604" i="57"/>
  <c r="C1889" i="57" s="1"/>
  <c r="W1604" i="57"/>
  <c r="W1889" i="57" s="1"/>
  <c r="AG1594" i="57"/>
  <c r="AG1666" i="57" s="1"/>
  <c r="M1594" i="57"/>
  <c r="M1666" i="57" s="1"/>
  <c r="AF1594" i="57"/>
  <c r="AF1666" i="57" s="1"/>
  <c r="E1594" i="57"/>
  <c r="E1666" i="57" s="1"/>
  <c r="AC1594" i="57"/>
  <c r="AC1666" i="57" s="1"/>
  <c r="P1594" i="57"/>
  <c r="P1666" i="57" s="1"/>
  <c r="T1594" i="57"/>
  <c r="T1666" i="57" s="1"/>
  <c r="U1594" i="57"/>
  <c r="U1666" i="57" s="1"/>
  <c r="I1594" i="57"/>
  <c r="I1666" i="57" s="1"/>
  <c r="AJ1594" i="57"/>
  <c r="AJ1666" i="57" s="1"/>
  <c r="D1594" i="57"/>
  <c r="D1666" i="57" s="1"/>
  <c r="O1594" i="57"/>
  <c r="O1666" i="57" s="1"/>
  <c r="Y1594" i="57"/>
  <c r="Y1666" i="57" s="1"/>
  <c r="H1594" i="57"/>
  <c r="H1666" i="57" s="1"/>
  <c r="AB1594" i="57"/>
  <c r="AB1666" i="57" s="1"/>
  <c r="L1594" i="57"/>
  <c r="L1666" i="57" s="1"/>
  <c r="X1594" i="57"/>
  <c r="X1666" i="57" s="1"/>
  <c r="G1594" i="57"/>
  <c r="G1666" i="57" s="1"/>
  <c r="W1594" i="57"/>
  <c r="W1666" i="57" s="1"/>
  <c r="AK1594" i="57"/>
  <c r="AK1666" i="57" s="1"/>
  <c r="Q1594" i="57"/>
  <c r="Q1666" i="57" s="1"/>
  <c r="K1594" i="57"/>
  <c r="K1666" i="57" s="1"/>
  <c r="AE1594" i="57"/>
  <c r="AE1666" i="57" s="1"/>
  <c r="AI1594" i="57"/>
  <c r="AI1666" i="57" s="1"/>
  <c r="C1594" i="57"/>
  <c r="C1666" i="57" s="1"/>
  <c r="S1594" i="57"/>
  <c r="S1666" i="57" s="1"/>
  <c r="AA1594" i="57"/>
  <c r="AA1666" i="57" s="1"/>
  <c r="B3010" i="57"/>
  <c r="B3165" i="57" s="1"/>
  <c r="B3443" i="57" s="1"/>
  <c r="B2307" i="57"/>
  <c r="B2381" i="57" s="1"/>
  <c r="B2552" i="57" s="1"/>
  <c r="G2307" i="57"/>
  <c r="G2381" i="57" s="1"/>
  <c r="G2552" i="57" s="1"/>
  <c r="F1936" i="57"/>
  <c r="F2218" i="57" s="1"/>
  <c r="F1912" i="57"/>
  <c r="F2189" i="57" s="1"/>
  <c r="G1936" i="57"/>
  <c r="G2218" i="57" s="1"/>
  <c r="G1912" i="57"/>
  <c r="G2189" i="57" s="1"/>
  <c r="C2307" i="57"/>
  <c r="C2381" i="57" s="1"/>
  <c r="C2552" i="57" s="1"/>
  <c r="B760" i="57"/>
  <c r="B764" i="57"/>
  <c r="F2153" i="57"/>
  <c r="F2198" i="57" s="1"/>
  <c r="F2152" i="57"/>
  <c r="F2197" i="57" s="1"/>
  <c r="F2174" i="57"/>
  <c r="F2246" i="57" s="1"/>
  <c r="F2156" i="57"/>
  <c r="F2201" i="57" s="1"/>
  <c r="F2154" i="57"/>
  <c r="F2199" i="57" s="1"/>
  <c r="F2155" i="57"/>
  <c r="F2200" i="57" s="1"/>
  <c r="F2165" i="57"/>
  <c r="F2226" i="57" s="1"/>
  <c r="E2165" i="57"/>
  <c r="E2226" i="57" s="1"/>
  <c r="E2153" i="57"/>
  <c r="E2198" i="57" s="1"/>
  <c r="I87" i="34"/>
  <c r="I83" i="34"/>
  <c r="I81" i="34"/>
  <c r="I77" i="34"/>
  <c r="I73" i="34"/>
  <c r="I69" i="34"/>
  <c r="I86" i="34"/>
  <c r="I80" i="34"/>
  <c r="I72" i="34"/>
  <c r="I68" i="34"/>
  <c r="I76" i="34"/>
  <c r="I82" i="34"/>
  <c r="I74" i="34"/>
  <c r="I70" i="34"/>
  <c r="I85" i="34"/>
  <c r="I79" i="34"/>
  <c r="I71" i="34"/>
  <c r="I78" i="34"/>
  <c r="I84" i="34"/>
  <c r="I94" i="34"/>
  <c r="I75" i="34"/>
  <c r="B1797" i="57"/>
  <c r="I1797" i="57"/>
  <c r="J1797" i="57"/>
  <c r="F1797" i="57"/>
  <c r="E1797" i="57"/>
  <c r="G1797" i="57"/>
  <c r="C1797" i="57"/>
  <c r="D1797" i="57"/>
  <c r="H1797" i="57"/>
  <c r="E154" i="38"/>
  <c r="C154" i="37"/>
  <c r="B154" i="38"/>
  <c r="B154" i="36"/>
  <c r="E154" i="37"/>
  <c r="E154" i="35"/>
  <c r="B154" i="37"/>
  <c r="E154" i="36"/>
  <c r="C154" i="35"/>
  <c r="C154" i="36"/>
  <c r="B154" i="35"/>
  <c r="C154" i="38"/>
  <c r="B154" i="34"/>
  <c r="C154" i="34"/>
  <c r="E154" i="34"/>
  <c r="B114" i="41"/>
  <c r="B3326" i="57"/>
  <c r="B3566" i="57" s="1"/>
  <c r="H66" i="35"/>
  <c r="G85" i="35"/>
  <c r="G81" i="35"/>
  <c r="G77" i="35"/>
  <c r="G73" i="35"/>
  <c r="G69" i="35"/>
  <c r="G94" i="35"/>
  <c r="G84" i="35"/>
  <c r="G80" i="35"/>
  <c r="G76" i="35"/>
  <c r="G72" i="35"/>
  <c r="G68" i="35"/>
  <c r="G86" i="35"/>
  <c r="G78" i="35"/>
  <c r="G70" i="35"/>
  <c r="G83" i="35"/>
  <c r="G75" i="35"/>
  <c r="G82" i="35"/>
  <c r="G74" i="35"/>
  <c r="G87" i="35"/>
  <c r="G79" i="35"/>
  <c r="G71" i="35"/>
  <c r="I66" i="38"/>
  <c r="H84" i="38"/>
  <c r="H71" i="38"/>
  <c r="H79" i="38"/>
  <c r="H86" i="38"/>
  <c r="H75" i="38"/>
  <c r="H81" i="38"/>
  <c r="H68" i="38"/>
  <c r="H76" i="38"/>
  <c r="H83" i="38"/>
  <c r="H73" i="38"/>
  <c r="H85" i="38"/>
  <c r="H82" i="38"/>
  <c r="H77" i="38"/>
  <c r="H78" i="38"/>
  <c r="H74" i="38"/>
  <c r="H70" i="38"/>
  <c r="H72" i="38"/>
  <c r="H69" i="38"/>
  <c r="H80" i="38"/>
  <c r="H87" i="38"/>
  <c r="H94" i="38"/>
  <c r="D1798" i="57"/>
  <c r="H1798" i="57"/>
  <c r="F1798" i="57"/>
  <c r="B1798" i="57"/>
  <c r="J1798" i="57"/>
  <c r="I86" i="37"/>
  <c r="I82" i="37"/>
  <c r="I78" i="37"/>
  <c r="I74" i="37"/>
  <c r="I70" i="37"/>
  <c r="I85" i="37"/>
  <c r="I81" i="37"/>
  <c r="I77" i="37"/>
  <c r="I73" i="37"/>
  <c r="I69" i="37"/>
  <c r="I94" i="37"/>
  <c r="I84" i="37"/>
  <c r="I80" i="37"/>
  <c r="I76" i="37"/>
  <c r="I72" i="37"/>
  <c r="I68" i="37"/>
  <c r="I87" i="37"/>
  <c r="I71" i="37"/>
  <c r="I83" i="37"/>
  <c r="I79" i="37"/>
  <c r="I75" i="37"/>
  <c r="J2155" i="57" l="1"/>
  <c r="J2200" i="57" s="1"/>
  <c r="D2156" i="57"/>
  <c r="D2201" i="57" s="1"/>
  <c r="D2154" i="57"/>
  <c r="D2199" i="57" s="1"/>
  <c r="D3014" i="57" s="1"/>
  <c r="C1798" i="57"/>
  <c r="G1798" i="57"/>
  <c r="E1798" i="57"/>
  <c r="I1686" i="57"/>
  <c r="I1774" i="57" s="1"/>
  <c r="J2174" i="57"/>
  <c r="J2246" i="57" s="1"/>
  <c r="J2156" i="57"/>
  <c r="J2201" i="57" s="1"/>
  <c r="D2153" i="57"/>
  <c r="D2198" i="57" s="1"/>
  <c r="C2308" i="57"/>
  <c r="C2382" i="57" s="1"/>
  <c r="C2553" i="57" s="1"/>
  <c r="J2153" i="57"/>
  <c r="J2198" i="57" s="1"/>
  <c r="D2165" i="57"/>
  <c r="D2226" i="57" s="1"/>
  <c r="D2308" i="57"/>
  <c r="D2382" i="57" s="1"/>
  <c r="D2553" i="57" s="1"/>
  <c r="J1648" i="57"/>
  <c r="E1648" i="57"/>
  <c r="I1648" i="57"/>
  <c r="D1648" i="57"/>
  <c r="G1648" i="57"/>
  <c r="C1648" i="57"/>
  <c r="H1648" i="57"/>
  <c r="D1686" i="57"/>
  <c r="D1774" i="57" s="1"/>
  <c r="I1798" i="57"/>
  <c r="I1808" i="57" s="1"/>
  <c r="C1808" i="57"/>
  <c r="C2155" i="57"/>
  <c r="C2200" i="57" s="1"/>
  <c r="G2165" i="57"/>
  <c r="G2226" i="57" s="1"/>
  <c r="H2153" i="57"/>
  <c r="H2198" i="57" s="1"/>
  <c r="J1685" i="57"/>
  <c r="H1685" i="57"/>
  <c r="H1773" i="57" s="1"/>
  <c r="I1685" i="57"/>
  <c r="I1773" i="57" s="1"/>
  <c r="G1685" i="57"/>
  <c r="G1773" i="57" s="1"/>
  <c r="G1807" i="57" s="1"/>
  <c r="G1824" i="57" s="1"/>
  <c r="E2174" i="57"/>
  <c r="E2246" i="57" s="1"/>
  <c r="E2152" i="57"/>
  <c r="E2197" i="57" s="1"/>
  <c r="G2154" i="57"/>
  <c r="G2199" i="57" s="1"/>
  <c r="G2155" i="57"/>
  <c r="G2200" i="57" s="1"/>
  <c r="C2154" i="57"/>
  <c r="C2199" i="57" s="1"/>
  <c r="C2174" i="57"/>
  <c r="C2246" i="57" s="1"/>
  <c r="B2155" i="57"/>
  <c r="B2200" i="57" s="1"/>
  <c r="B2156" i="57"/>
  <c r="B2201" i="57" s="1"/>
  <c r="B3016" i="57" s="1"/>
  <c r="H2155" i="57"/>
  <c r="H2200" i="57" s="1"/>
  <c r="H2165" i="57"/>
  <c r="H2226" i="57" s="1"/>
  <c r="B1760" i="57"/>
  <c r="D1808" i="57"/>
  <c r="E2156" i="57"/>
  <c r="E2201" i="57" s="1"/>
  <c r="E2154" i="57"/>
  <c r="E2199" i="57" s="1"/>
  <c r="G2152" i="57"/>
  <c r="G2197" i="57" s="1"/>
  <c r="G2156" i="57"/>
  <c r="G2201" i="57" s="1"/>
  <c r="C2156" i="57"/>
  <c r="C2201" i="57" s="1"/>
  <c r="C2165" i="57"/>
  <c r="C2226" i="57" s="1"/>
  <c r="B2152" i="57"/>
  <c r="B2197" i="57" s="1"/>
  <c r="B2153" i="57"/>
  <c r="B2198" i="57" s="1"/>
  <c r="B2270" i="57" s="1"/>
  <c r="B2384" i="57" s="1"/>
  <c r="B2555" i="57" s="1"/>
  <c r="H2152" i="57"/>
  <c r="H2197" i="57" s="1"/>
  <c r="H2154" i="57"/>
  <c r="H2199" i="57" s="1"/>
  <c r="G2153" i="57"/>
  <c r="G2198" i="57" s="1"/>
  <c r="B2165" i="57"/>
  <c r="B2226" i="57" s="1"/>
  <c r="B3044" i="57" s="1"/>
  <c r="B3190" i="57" s="1"/>
  <c r="F2308" i="57"/>
  <c r="F2382" i="57" s="1"/>
  <c r="F2553" i="57" s="1"/>
  <c r="I2308" i="57"/>
  <c r="I2382" i="57" s="1"/>
  <c r="I2553" i="57" s="1"/>
  <c r="B1686" i="57"/>
  <c r="B1774" i="57" s="1"/>
  <c r="H2308" i="57"/>
  <c r="H2382" i="57" s="1"/>
  <c r="H2553" i="57" s="1"/>
  <c r="J2308" i="57"/>
  <c r="J2382" i="57" s="1"/>
  <c r="J2553" i="57" s="1"/>
  <c r="E2308" i="57"/>
  <c r="E2382" i="57" s="1"/>
  <c r="E2553" i="57" s="1"/>
  <c r="G2308" i="57"/>
  <c r="G2382" i="57" s="1"/>
  <c r="G2553" i="57" s="1"/>
  <c r="B3011" i="57"/>
  <c r="B3166" i="57" s="1"/>
  <c r="B3444" i="57" s="1"/>
  <c r="B2308" i="57"/>
  <c r="B2382" i="57" s="1"/>
  <c r="B2553" i="57" s="1"/>
  <c r="D3042" i="57"/>
  <c r="D3188" i="57" s="1"/>
  <c r="D3487" i="57" s="1"/>
  <c r="D3010" i="57"/>
  <c r="D3165" i="57" s="1"/>
  <c r="D3443" i="57" s="1"/>
  <c r="D3065" i="57"/>
  <c r="D3202" i="57" s="1"/>
  <c r="D3531" i="57" s="1"/>
  <c r="D3067" i="57"/>
  <c r="D3044" i="57"/>
  <c r="J1686" i="57"/>
  <c r="J1774" i="57" s="1"/>
  <c r="J1808" i="57" s="1"/>
  <c r="D3036" i="57"/>
  <c r="D3182" i="57" s="1"/>
  <c r="D3481" i="57" s="1"/>
  <c r="C1760" i="57"/>
  <c r="C1825" i="57" s="1"/>
  <c r="H1807" i="57"/>
  <c r="H1824" i="57" s="1"/>
  <c r="E2270" i="57"/>
  <c r="E2384" i="57" s="1"/>
  <c r="E2555" i="57" s="1"/>
  <c r="F2272" i="57"/>
  <c r="F2386" i="57" s="1"/>
  <c r="F2557" i="57" s="1"/>
  <c r="F2269" i="57"/>
  <c r="F2383" i="57" s="1"/>
  <c r="F2554" i="57" s="1"/>
  <c r="E1685" i="57"/>
  <c r="E1773" i="57" s="1"/>
  <c r="E1807" i="57" s="1"/>
  <c r="E1824" i="57" s="1"/>
  <c r="D1960" i="57"/>
  <c r="D2243" i="57" s="1"/>
  <c r="D3064" i="57" s="1"/>
  <c r="D3201" i="57" s="1"/>
  <c r="D3530" i="57" s="1"/>
  <c r="D1941" i="57"/>
  <c r="D2223" i="57" s="1"/>
  <c r="D3041" i="57" s="1"/>
  <c r="D3187" i="57" s="1"/>
  <c r="D3486" i="57" s="1"/>
  <c r="D1917" i="57"/>
  <c r="D2194" i="57" s="1"/>
  <c r="F1941" i="57"/>
  <c r="F2223" i="57" s="1"/>
  <c r="F1917" i="57"/>
  <c r="F2194" i="57" s="1"/>
  <c r="F1960" i="57"/>
  <c r="F2243" i="57" s="1"/>
  <c r="I2309" i="57"/>
  <c r="I2387" i="57" s="1"/>
  <c r="I2558" i="57" s="1"/>
  <c r="I2271" i="57"/>
  <c r="I2385" i="57" s="1"/>
  <c r="I2556" i="57" s="1"/>
  <c r="G2269" i="57"/>
  <c r="G2383" i="57" s="1"/>
  <c r="G2554" i="57" s="1"/>
  <c r="G2309" i="57"/>
  <c r="G2387" i="57" s="1"/>
  <c r="G2558" i="57" s="1"/>
  <c r="C2309" i="57"/>
  <c r="C2387" i="57" s="1"/>
  <c r="C2558" i="57" s="1"/>
  <c r="E1686" i="57"/>
  <c r="E1774" i="57" s="1"/>
  <c r="H1686" i="57"/>
  <c r="H1774" i="57" s="1"/>
  <c r="H1808" i="57" s="1"/>
  <c r="D3004" i="57"/>
  <c r="D3159" i="57" s="1"/>
  <c r="D3437" i="57" s="1"/>
  <c r="D2287" i="57"/>
  <c r="D2375" i="57" s="1"/>
  <c r="D2546" i="57" s="1"/>
  <c r="B3012" i="57"/>
  <c r="B2269" i="57"/>
  <c r="B2383" i="57" s="1"/>
  <c r="B2554" i="57" s="1"/>
  <c r="B3013" i="57"/>
  <c r="J2270" i="57"/>
  <c r="J2384" i="57" s="1"/>
  <c r="J2555" i="57" s="1"/>
  <c r="J2271" i="57"/>
  <c r="J2385" i="57" s="1"/>
  <c r="J2556" i="57" s="1"/>
  <c r="B778" i="57"/>
  <c r="F2942" i="57" s="1"/>
  <c r="F3014" i="57" s="1"/>
  <c r="H2309" i="57"/>
  <c r="H2387" i="57" s="1"/>
  <c r="H2558" i="57" s="1"/>
  <c r="D3016" i="57"/>
  <c r="D2309" i="57"/>
  <c r="D2387" i="57" s="1"/>
  <c r="D2558" i="57" s="1"/>
  <c r="D2271" i="57"/>
  <c r="D2385" i="57" s="1"/>
  <c r="D2556" i="57" s="1"/>
  <c r="I1760" i="57"/>
  <c r="E1760" i="57"/>
  <c r="B3004" i="57"/>
  <c r="B3159" i="57" s="1"/>
  <c r="B3437" i="57" s="1"/>
  <c r="B2287" i="57"/>
  <c r="B2375" i="57" s="1"/>
  <c r="B2546" i="57" s="1"/>
  <c r="B780" i="57"/>
  <c r="H2942" i="57" s="1"/>
  <c r="H3044" i="57" s="1"/>
  <c r="B782" i="57"/>
  <c r="J2942" i="57" s="1"/>
  <c r="B3328" i="57"/>
  <c r="B3569" i="57" s="1"/>
  <c r="E2269" i="57"/>
  <c r="E2383" i="57" s="1"/>
  <c r="E2554" i="57" s="1"/>
  <c r="F2270" i="57"/>
  <c r="F2384" i="57" s="1"/>
  <c r="F2555" i="57" s="1"/>
  <c r="F2287" i="57"/>
  <c r="F2375" i="57" s="1"/>
  <c r="F2546" i="57" s="1"/>
  <c r="G1941" i="57"/>
  <c r="G2223" i="57" s="1"/>
  <c r="G1917" i="57"/>
  <c r="G2194" i="57" s="1"/>
  <c r="G1960" i="57"/>
  <c r="G2243" i="57" s="1"/>
  <c r="C1941" i="57"/>
  <c r="C2223" i="57" s="1"/>
  <c r="C1960" i="57"/>
  <c r="C2243" i="57" s="1"/>
  <c r="C1917" i="57"/>
  <c r="C2194" i="57" s="1"/>
  <c r="J1960" i="57"/>
  <c r="J2243" i="57" s="1"/>
  <c r="J3064" i="57" s="1"/>
  <c r="J3201" i="57" s="1"/>
  <c r="J3530" i="57" s="1"/>
  <c r="J1941" i="57"/>
  <c r="J2223" i="57" s="1"/>
  <c r="J1917" i="57"/>
  <c r="J2194" i="57" s="1"/>
  <c r="I2272" i="57"/>
  <c r="I2386" i="57" s="1"/>
  <c r="I2557" i="57" s="1"/>
  <c r="G2270" i="57"/>
  <c r="G2384" i="57" s="1"/>
  <c r="G2555" i="57" s="1"/>
  <c r="C2272" i="57"/>
  <c r="C2386" i="57" s="1"/>
  <c r="C2557" i="57" s="1"/>
  <c r="C2287" i="57"/>
  <c r="C2375" i="57" s="1"/>
  <c r="C2546" i="57" s="1"/>
  <c r="B775" i="57"/>
  <c r="C2942" i="57" s="1"/>
  <c r="C3016" i="57" s="1"/>
  <c r="B3014" i="57"/>
  <c r="B2271" i="57"/>
  <c r="B2385" i="57" s="1"/>
  <c r="B2556" i="57" s="1"/>
  <c r="J3015" i="57"/>
  <c r="J2272" i="57"/>
  <c r="J2386" i="57" s="1"/>
  <c r="J2557" i="57" s="1"/>
  <c r="J3004" i="57"/>
  <c r="J3159" i="57" s="1"/>
  <c r="J3437" i="57" s="1"/>
  <c r="J2287" i="57"/>
  <c r="J2375" i="57" s="1"/>
  <c r="J2546" i="57" s="1"/>
  <c r="H3015" i="57"/>
  <c r="H2272" i="57"/>
  <c r="H2386" i="57" s="1"/>
  <c r="H2557" i="57" s="1"/>
  <c r="D3204" i="57"/>
  <c r="D3537" i="57"/>
  <c r="D3012" i="57"/>
  <c r="D2269" i="57"/>
  <c r="D2383" i="57" s="1"/>
  <c r="D2554" i="57" s="1"/>
  <c r="H3036" i="57"/>
  <c r="H3182" i="57" s="1"/>
  <c r="H3481" i="57" s="1"/>
  <c r="B3332" i="57"/>
  <c r="B3573" i="57" s="1"/>
  <c r="F2271" i="57"/>
  <c r="F2385" i="57" s="1"/>
  <c r="F2556" i="57" s="1"/>
  <c r="I1807" i="57"/>
  <c r="I1824" i="57" s="1"/>
  <c r="E2309" i="57"/>
  <c r="E2387" i="57" s="1"/>
  <c r="E2558" i="57" s="1"/>
  <c r="E2271" i="57"/>
  <c r="E2385" i="57" s="1"/>
  <c r="E2556" i="57" s="1"/>
  <c r="F2309" i="57"/>
  <c r="F2387" i="57" s="1"/>
  <c r="F2558" i="57" s="1"/>
  <c r="B781" i="57"/>
  <c r="I2942" i="57" s="1"/>
  <c r="I3067" i="57" s="1"/>
  <c r="F1685" i="57"/>
  <c r="F1773" i="57" s="1"/>
  <c r="F1807" i="57" s="1"/>
  <c r="F1824" i="57" s="1"/>
  <c r="D1685" i="57"/>
  <c r="D1773" i="57" s="1"/>
  <c r="D1807" i="57" s="1"/>
  <c r="D1824" i="57" s="1"/>
  <c r="C1685" i="57"/>
  <c r="C1773" i="57" s="1"/>
  <c r="C1807" i="57" s="1"/>
  <c r="C1824" i="57" s="1"/>
  <c r="B1941" i="57"/>
  <c r="B2223" i="57" s="1"/>
  <c r="B3041" i="57" s="1"/>
  <c r="B3187" i="57" s="1"/>
  <c r="B3486" i="57" s="1"/>
  <c r="B1917" i="57"/>
  <c r="B2194" i="57" s="1"/>
  <c r="B1960" i="57"/>
  <c r="B2243" i="57" s="1"/>
  <c r="B3064" i="57" s="1"/>
  <c r="B3201" i="57" s="1"/>
  <c r="B3530" i="57" s="1"/>
  <c r="H1941" i="57"/>
  <c r="H2223" i="57" s="1"/>
  <c r="H3041" i="57" s="1"/>
  <c r="H3187" i="57" s="1"/>
  <c r="H3486" i="57" s="1"/>
  <c r="H1917" i="57"/>
  <c r="H2194" i="57" s="1"/>
  <c r="H1960" i="57"/>
  <c r="H2243" i="57" s="1"/>
  <c r="H3064" i="57" s="1"/>
  <c r="H3201" i="57" s="1"/>
  <c r="H3530" i="57" s="1"/>
  <c r="I2270" i="57"/>
  <c r="I2384" i="57" s="1"/>
  <c r="I2555" i="57" s="1"/>
  <c r="I2269" i="57"/>
  <c r="I2383" i="57" s="1"/>
  <c r="I2554" i="57" s="1"/>
  <c r="C3012" i="57"/>
  <c r="C2269" i="57"/>
  <c r="C2383" i="57" s="1"/>
  <c r="C2554" i="57" s="1"/>
  <c r="C3013" i="57"/>
  <c r="C2270" i="57"/>
  <c r="C2384" i="57" s="1"/>
  <c r="C2555" i="57" s="1"/>
  <c r="F1686" i="57"/>
  <c r="F1774" i="57" s="1"/>
  <c r="C3036" i="57"/>
  <c r="C3182" i="57" s="1"/>
  <c r="C3481" i="57" s="1"/>
  <c r="B3537" i="57"/>
  <c r="B3204" i="57"/>
  <c r="J2269" i="57"/>
  <c r="J2383" i="57" s="1"/>
  <c r="J2554" i="57" s="1"/>
  <c r="J3012" i="57"/>
  <c r="J3044" i="57"/>
  <c r="I2287" i="57"/>
  <c r="I2375" i="57" s="1"/>
  <c r="I2546" i="57" s="1"/>
  <c r="H3012" i="57"/>
  <c r="H2269" i="57"/>
  <c r="H2383" i="57" s="1"/>
  <c r="H2554" i="57" s="1"/>
  <c r="H3014" i="57"/>
  <c r="H2271" i="57"/>
  <c r="H2385" i="57" s="1"/>
  <c r="H2556" i="57" s="1"/>
  <c r="D2270" i="57"/>
  <c r="D2384" i="57" s="1"/>
  <c r="D2555" i="57" s="1"/>
  <c r="D3013" i="57"/>
  <c r="J1760" i="57"/>
  <c r="G1760" i="57"/>
  <c r="H3004" i="57"/>
  <c r="H3159" i="57" s="1"/>
  <c r="H3437" i="57" s="1"/>
  <c r="H2287" i="57"/>
  <c r="H2375" i="57" s="1"/>
  <c r="H2546" i="57" s="1"/>
  <c r="B3329" i="57"/>
  <c r="B3570" i="57" s="1"/>
  <c r="B3324" i="57"/>
  <c r="B3563" i="57" s="1"/>
  <c r="D3399" i="57"/>
  <c r="D3414" i="57" s="1"/>
  <c r="D3713" i="57" s="1"/>
  <c r="D3400" i="57"/>
  <c r="D3415" i="57" s="1"/>
  <c r="D3715" i="57" s="1"/>
  <c r="D3397" i="57"/>
  <c r="D3412" i="57" s="1"/>
  <c r="D3709" i="57" s="1"/>
  <c r="D3398" i="57"/>
  <c r="D3413" i="57" s="1"/>
  <c r="D3711" i="57" s="1"/>
  <c r="D3395" i="57"/>
  <c r="D3410" i="57" s="1"/>
  <c r="D3705" i="57" s="1"/>
  <c r="D3396" i="57"/>
  <c r="D3411" i="57" s="1"/>
  <c r="D3707" i="57" s="1"/>
  <c r="D3045" i="57"/>
  <c r="D3498" i="57" s="1"/>
  <c r="D2973" i="57"/>
  <c r="D3450" i="57" s="1"/>
  <c r="D2975" i="57"/>
  <c r="D3452" i="57" s="1"/>
  <c r="D3049" i="57"/>
  <c r="D3506" i="57" s="1"/>
  <c r="D2979" i="57"/>
  <c r="D3456" i="57" s="1"/>
  <c r="D2986" i="57"/>
  <c r="D3043" i="57"/>
  <c r="D3189" i="57" s="1"/>
  <c r="D3488" i="57" s="1"/>
  <c r="D2958" i="57"/>
  <c r="D3130" i="57" s="1"/>
  <c r="D3068" i="57"/>
  <c r="D3542" i="57" s="1"/>
  <c r="D2970" i="57"/>
  <c r="D3142" i="57" s="1"/>
  <c r="D3037" i="57"/>
  <c r="D3183" i="57" s="1"/>
  <c r="D3482" i="57" s="1"/>
  <c r="D2969" i="57"/>
  <c r="D3141" i="57" s="1"/>
  <c r="D3069" i="57"/>
  <c r="D3543" i="57" s="1"/>
  <c r="D2974" i="57"/>
  <c r="D3451" i="57" s="1"/>
  <c r="D2956" i="57"/>
  <c r="D3128" i="57" s="1"/>
  <c r="D3019" i="57"/>
  <c r="D3458" i="57" s="1"/>
  <c r="D2981" i="57"/>
  <c r="D2972" i="57"/>
  <c r="D3144" i="57" s="1"/>
  <c r="D3020" i="57"/>
  <c r="D3459" i="57" s="1"/>
  <c r="D2976" i="57"/>
  <c r="D3453" i="57" s="1"/>
  <c r="D2985" i="57"/>
  <c r="D2964" i="57"/>
  <c r="D3136" i="57" s="1"/>
  <c r="D2954" i="57"/>
  <c r="D3126" i="57" s="1"/>
  <c r="D3073" i="57"/>
  <c r="D3551" i="57" s="1"/>
  <c r="D3005" i="57"/>
  <c r="D3160" i="57" s="1"/>
  <c r="D3438" i="57" s="1"/>
  <c r="D2967" i="57"/>
  <c r="D3139" i="57" s="1"/>
  <c r="D3356" i="57" s="1"/>
  <c r="D3368" i="57" s="1"/>
  <c r="D3697" i="57" s="1"/>
  <c r="D2962" i="57"/>
  <c r="D3134" i="57" s="1"/>
  <c r="D3006" i="57"/>
  <c r="D3161" i="57" s="1"/>
  <c r="D3439" i="57" s="1"/>
  <c r="D3017" i="57"/>
  <c r="D3454" i="57" s="1"/>
  <c r="D3022" i="57"/>
  <c r="D3463" i="57" s="1"/>
  <c r="D2983" i="57"/>
  <c r="D3460" i="57" s="1"/>
  <c r="D3018" i="57"/>
  <c r="D3455" i="57" s="1"/>
  <c r="D2965" i="57"/>
  <c r="D3137" i="57" s="1"/>
  <c r="D3354" i="57" s="1"/>
  <c r="D3366" i="57" s="1"/>
  <c r="D3695" i="57" s="1"/>
  <c r="D3070" i="57"/>
  <c r="D3546" i="57" s="1"/>
  <c r="D2966" i="57"/>
  <c r="D3138" i="57" s="1"/>
  <c r="D3355" i="57" s="1"/>
  <c r="D3367" i="57" s="1"/>
  <c r="D3696" i="57" s="1"/>
  <c r="D3021" i="57"/>
  <c r="D3462" i="57" s="1"/>
  <c r="D2957" i="57"/>
  <c r="D3129" i="57" s="1"/>
  <c r="D3066" i="57"/>
  <c r="D3203" i="57" s="1"/>
  <c r="D3532" i="57" s="1"/>
  <c r="D3046" i="57"/>
  <c r="D3499" i="57" s="1"/>
  <c r="D2978" i="57"/>
  <c r="D2959" i="57"/>
  <c r="D3131" i="57" s="1"/>
  <c r="D2982" i="57"/>
  <c r="D2960" i="57"/>
  <c r="D3132" i="57" s="1"/>
  <c r="D2971" i="57"/>
  <c r="D3143" i="57" s="1"/>
  <c r="D3071" i="57"/>
  <c r="D3547" i="57" s="1"/>
  <c r="D3072" i="57"/>
  <c r="D3550" i="57" s="1"/>
  <c r="D2961" i="57"/>
  <c r="D3133" i="57" s="1"/>
  <c r="D2968" i="57"/>
  <c r="D3140" i="57" s="1"/>
  <c r="D3011" i="57"/>
  <c r="D3166" i="57" s="1"/>
  <c r="D3444" i="57" s="1"/>
  <c r="D2980" i="57"/>
  <c r="D3457" i="57" s="1"/>
  <c r="D2977" i="57"/>
  <c r="D2984" i="57"/>
  <c r="D3461" i="57" s="1"/>
  <c r="D2963" i="57"/>
  <c r="D3135" i="57" s="1"/>
  <c r="D3050" i="57"/>
  <c r="D3507" i="57" s="1"/>
  <c r="D2955" i="57"/>
  <c r="D3127" i="57" s="1"/>
  <c r="D3048" i="57"/>
  <c r="D3503" i="57" s="1"/>
  <c r="D3047" i="57"/>
  <c r="D3502" i="57" s="1"/>
  <c r="D3038" i="57"/>
  <c r="D3184" i="57" s="1"/>
  <c r="D3483" i="57" s="1"/>
  <c r="D3085" i="57"/>
  <c r="E1808" i="57"/>
  <c r="E1825" i="57" s="1"/>
  <c r="P1855" i="57" s="1"/>
  <c r="P1883" i="57" s="1"/>
  <c r="F1808" i="57"/>
  <c r="E2272" i="57"/>
  <c r="E2386" i="57" s="1"/>
  <c r="E2557" i="57" s="1"/>
  <c r="F3067" i="57"/>
  <c r="B777" i="57"/>
  <c r="E2942" i="57" s="1"/>
  <c r="E3004" i="57" s="1"/>
  <c r="E3159" i="57" s="1"/>
  <c r="E3437" i="57" s="1"/>
  <c r="G2287" i="57"/>
  <c r="G2375" i="57" s="1"/>
  <c r="G2546" i="57" s="1"/>
  <c r="B1685" i="57"/>
  <c r="B1773" i="57" s="1"/>
  <c r="B1807" i="57" s="1"/>
  <c r="B1824" i="57" s="1"/>
  <c r="E1960" i="57"/>
  <c r="E2243" i="57" s="1"/>
  <c r="E1941" i="57"/>
  <c r="E2223" i="57" s="1"/>
  <c r="E1917" i="57"/>
  <c r="E2194" i="57" s="1"/>
  <c r="I1941" i="57"/>
  <c r="I2223" i="57" s="1"/>
  <c r="I1917" i="57"/>
  <c r="I2194" i="57" s="1"/>
  <c r="I1960" i="57"/>
  <c r="I2243" i="57" s="1"/>
  <c r="G2271" i="57"/>
  <c r="G2385" i="57" s="1"/>
  <c r="G2556" i="57" s="1"/>
  <c r="G2272" i="57"/>
  <c r="G2386" i="57" s="1"/>
  <c r="G2557" i="57" s="1"/>
  <c r="C2271" i="57"/>
  <c r="C2385" i="57" s="1"/>
  <c r="C2556" i="57" s="1"/>
  <c r="C3014" i="57"/>
  <c r="C3067" i="57"/>
  <c r="G1686" i="57"/>
  <c r="G1774" i="57" s="1"/>
  <c r="G1808" i="57" s="1"/>
  <c r="G1825" i="57" s="1"/>
  <c r="Y1855" i="57" s="1"/>
  <c r="Y1883" i="57" s="1"/>
  <c r="B3015" i="57"/>
  <c r="B2272" i="57"/>
  <c r="B2386" i="57" s="1"/>
  <c r="B2557" i="57" s="1"/>
  <c r="B2309" i="57"/>
  <c r="B2387" i="57" s="1"/>
  <c r="B2558" i="57" s="1"/>
  <c r="J3067" i="57"/>
  <c r="J3016" i="57"/>
  <c r="J2309" i="57"/>
  <c r="J2387" i="57" s="1"/>
  <c r="J2558" i="57" s="1"/>
  <c r="I3036" i="57"/>
  <c r="I3182" i="57" s="1"/>
  <c r="I3481" i="57" s="1"/>
  <c r="H2270" i="57"/>
  <c r="H2384" i="57" s="1"/>
  <c r="H2555" i="57" s="1"/>
  <c r="H3013" i="57"/>
  <c r="D3493" i="57"/>
  <c r="D3190" i="57"/>
  <c r="D2272" i="57"/>
  <c r="D2386" i="57" s="1"/>
  <c r="D2557" i="57" s="1"/>
  <c r="D3015" i="57"/>
  <c r="D1760" i="57"/>
  <c r="H1760" i="57"/>
  <c r="F1760" i="57"/>
  <c r="E2287" i="57"/>
  <c r="E2375" i="57" s="1"/>
  <c r="E2546" i="57" s="1"/>
  <c r="B779" i="57"/>
  <c r="G2942" i="57" s="1"/>
  <c r="G3012" i="57" s="1"/>
  <c r="F2645" i="57"/>
  <c r="G2693" i="57" s="1"/>
  <c r="G2724" i="57" s="1"/>
  <c r="B3327" i="57"/>
  <c r="B3567" i="57" s="1"/>
  <c r="O1845" i="57"/>
  <c r="O1882" i="57" s="1"/>
  <c r="AG1844" i="57"/>
  <c r="AG1879" i="57" s="1"/>
  <c r="AF1844" i="57"/>
  <c r="AF1879" i="57" s="1"/>
  <c r="AG1865" i="57"/>
  <c r="AG1887" i="57" s="1"/>
  <c r="AE1834" i="57"/>
  <c r="AE1878" i="57" s="1"/>
  <c r="AG1834" i="57"/>
  <c r="AG1878" i="57" s="1"/>
  <c r="AF1834" i="57"/>
  <c r="AF1878" i="57" s="1"/>
  <c r="AF1865" i="57"/>
  <c r="AF1887" i="57" s="1"/>
  <c r="AF1854" i="57"/>
  <c r="AF1880" i="57" s="1"/>
  <c r="AE1865" i="57"/>
  <c r="AE1887" i="57" s="1"/>
  <c r="AE1844" i="57"/>
  <c r="AE1879" i="57" s="1"/>
  <c r="AG1854" i="57"/>
  <c r="AG1880" i="57" s="1"/>
  <c r="AE1854" i="57"/>
  <c r="AE1880" i="57" s="1"/>
  <c r="O1844" i="57"/>
  <c r="O1879" i="57" s="1"/>
  <c r="O1834" i="57"/>
  <c r="O1878" i="57" s="1"/>
  <c r="Q1834" i="57"/>
  <c r="Q1878" i="57" s="1"/>
  <c r="P1844" i="57"/>
  <c r="P1879" i="57" s="1"/>
  <c r="Q1854" i="57"/>
  <c r="Q1880" i="57" s="1"/>
  <c r="Q1865" i="57"/>
  <c r="Q1887" i="57" s="1"/>
  <c r="P1834" i="57"/>
  <c r="P1878" i="57" s="1"/>
  <c r="O1865" i="57"/>
  <c r="O1887" i="57" s="1"/>
  <c r="P1865" i="57"/>
  <c r="P1887" i="57" s="1"/>
  <c r="Q1844" i="57"/>
  <c r="Q1879" i="57" s="1"/>
  <c r="O1854" i="57"/>
  <c r="O1880" i="57" s="1"/>
  <c r="P1854" i="57"/>
  <c r="P1880" i="57" s="1"/>
  <c r="I66" i="35"/>
  <c r="H94" i="35"/>
  <c r="H84" i="35"/>
  <c r="H80" i="35"/>
  <c r="H76" i="35"/>
  <c r="H72" i="35"/>
  <c r="H68" i="35"/>
  <c r="H87" i="35"/>
  <c r="H83" i="35"/>
  <c r="H79" i="35"/>
  <c r="H75" i="35"/>
  <c r="H71" i="35"/>
  <c r="H86" i="35"/>
  <c r="H82" i="35"/>
  <c r="H78" i="35"/>
  <c r="H74" i="35"/>
  <c r="H70" i="35"/>
  <c r="H77" i="35"/>
  <c r="H73" i="35"/>
  <c r="H85" i="35"/>
  <c r="H69" i="35"/>
  <c r="H81" i="35"/>
  <c r="X1835" i="57"/>
  <c r="X1881" i="57" s="1"/>
  <c r="D1834" i="57"/>
  <c r="D1878" i="57" s="1"/>
  <c r="C1834" i="57"/>
  <c r="C1878" i="57" s="1"/>
  <c r="D1844" i="57"/>
  <c r="D1879" i="57" s="1"/>
  <c r="E1854" i="57"/>
  <c r="E1880" i="57" s="1"/>
  <c r="C1844" i="57"/>
  <c r="C1879" i="57" s="1"/>
  <c r="C1865" i="57"/>
  <c r="C1887" i="57" s="1"/>
  <c r="E1865" i="57"/>
  <c r="E1887" i="57" s="1"/>
  <c r="E1844" i="57"/>
  <c r="E1879" i="57" s="1"/>
  <c r="E1834" i="57"/>
  <c r="E1878" i="57" s="1"/>
  <c r="C1854" i="57"/>
  <c r="C1880" i="57" s="1"/>
  <c r="D1865" i="57"/>
  <c r="D1887" i="57" s="1"/>
  <c r="D1854" i="57"/>
  <c r="D1880" i="57" s="1"/>
  <c r="E155" i="37"/>
  <c r="E155" i="38"/>
  <c r="B155" i="37"/>
  <c r="C155" i="36"/>
  <c r="B155" i="35"/>
  <c r="C155" i="38"/>
  <c r="B155" i="36"/>
  <c r="B155" i="38"/>
  <c r="E155" i="35"/>
  <c r="C155" i="37"/>
  <c r="E155" i="36"/>
  <c r="C155" i="35"/>
  <c r="B155" i="34"/>
  <c r="C155" i="34"/>
  <c r="E155" i="34"/>
  <c r="B115" i="41"/>
  <c r="B116" i="41" s="1"/>
  <c r="I85" i="38"/>
  <c r="I81" i="38"/>
  <c r="I77" i="38"/>
  <c r="I73" i="38"/>
  <c r="I69" i="38"/>
  <c r="I94" i="38"/>
  <c r="I84" i="38"/>
  <c r="I80" i="38"/>
  <c r="I76" i="38"/>
  <c r="I72" i="38"/>
  <c r="I68" i="38"/>
  <c r="I87" i="38"/>
  <c r="I83" i="38"/>
  <c r="I79" i="38"/>
  <c r="I75" i="38"/>
  <c r="I71" i="38"/>
  <c r="I82" i="38"/>
  <c r="I78" i="38"/>
  <c r="I74" i="38"/>
  <c r="I86" i="38"/>
  <c r="I70" i="38"/>
  <c r="B1808" i="57"/>
  <c r="B1825" i="57" s="1"/>
  <c r="AB1844" i="57"/>
  <c r="AB1879" i="57" s="1"/>
  <c r="AC1834" i="57"/>
  <c r="AC1878" i="57" s="1"/>
  <c r="AC1844" i="57"/>
  <c r="AC1879" i="57" s="1"/>
  <c r="AC1865" i="57"/>
  <c r="AC1887" i="57" s="1"/>
  <c r="AB1834" i="57"/>
  <c r="AB1878" i="57" s="1"/>
  <c r="AA1834" i="57"/>
  <c r="AA1878" i="57" s="1"/>
  <c r="AB1865" i="57"/>
  <c r="AB1887" i="57" s="1"/>
  <c r="AC1854" i="57"/>
  <c r="AC1880" i="57" s="1"/>
  <c r="AB1854" i="57"/>
  <c r="AB1880" i="57" s="1"/>
  <c r="AA1865" i="57"/>
  <c r="AA1887" i="57" s="1"/>
  <c r="AA1854" i="57"/>
  <c r="AA1880" i="57" s="1"/>
  <c r="AA1844" i="57"/>
  <c r="AA1879" i="57" s="1"/>
  <c r="X1855" i="57" l="1"/>
  <c r="X1883" i="57" s="1"/>
  <c r="F3004" i="57"/>
  <c r="F3159" i="57" s="1"/>
  <c r="F3437" i="57" s="1"/>
  <c r="W1835" i="57"/>
  <c r="W1881" i="57" s="1"/>
  <c r="I1825" i="57"/>
  <c r="J1773" i="57"/>
  <c r="J1807" i="57" s="1"/>
  <c r="J1824" i="57" s="1"/>
  <c r="O1855" i="57"/>
  <c r="O1883" i="57" s="1"/>
  <c r="B3493" i="57"/>
  <c r="P1845" i="57"/>
  <c r="P1882" i="57" s="1"/>
  <c r="Y1834" i="57"/>
  <c r="Y1878" i="57" s="1"/>
  <c r="W1865" i="57"/>
  <c r="W1887" i="57" s="1"/>
  <c r="W1854" i="57"/>
  <c r="W1880" i="57" s="1"/>
  <c r="X1854" i="57"/>
  <c r="X1880" i="57" s="1"/>
  <c r="Y1865" i="57"/>
  <c r="Y1887" i="57" s="1"/>
  <c r="Y1854" i="57"/>
  <c r="Y1880" i="57" s="1"/>
  <c r="X1834" i="57"/>
  <c r="X1878" i="57" s="1"/>
  <c r="W1834" i="57"/>
  <c r="W1878" i="57" s="1"/>
  <c r="Y1844" i="57"/>
  <c r="Y1879" i="57" s="1"/>
  <c r="X1865" i="57"/>
  <c r="X1887" i="57" s="1"/>
  <c r="W1844" i="57"/>
  <c r="W1879" i="57" s="1"/>
  <c r="X1844" i="57"/>
  <c r="X1879" i="57" s="1"/>
  <c r="Y1845" i="57"/>
  <c r="Y1882" i="57" s="1"/>
  <c r="W1855" i="57"/>
  <c r="W1883" i="57" s="1"/>
  <c r="Y1866" i="57"/>
  <c r="Y1888" i="57" s="1"/>
  <c r="P1866" i="57"/>
  <c r="P1888" i="57" s="1"/>
  <c r="Q1835" i="57"/>
  <c r="Q1881" i="57" s="1"/>
  <c r="Q1866" i="57"/>
  <c r="Q1888" i="57" s="1"/>
  <c r="D1825" i="57"/>
  <c r="I3041" i="57"/>
  <c r="I3187" i="57" s="1"/>
  <c r="I3486" i="57" s="1"/>
  <c r="F3044" i="57"/>
  <c r="I3013" i="57"/>
  <c r="F3013" i="57"/>
  <c r="X1866" i="57"/>
  <c r="X1888" i="57" s="1"/>
  <c r="W1866" i="57"/>
  <c r="W1888" i="57" s="1"/>
  <c r="Y1835" i="57"/>
  <c r="Y1881" i="57" s="1"/>
  <c r="O1835" i="57"/>
  <c r="O1881" i="57" s="1"/>
  <c r="O1866" i="57"/>
  <c r="O1888" i="57" s="1"/>
  <c r="E1916" i="57" s="1"/>
  <c r="E2193" i="57" s="1"/>
  <c r="Q1855" i="57"/>
  <c r="Q1883" i="57" s="1"/>
  <c r="I3044" i="57"/>
  <c r="I3004" i="57"/>
  <c r="I3159" i="57" s="1"/>
  <c r="I3437" i="57" s="1"/>
  <c r="F3016" i="57"/>
  <c r="F3171" i="57" s="1"/>
  <c r="H1906" i="57"/>
  <c r="H2183" i="57" s="1"/>
  <c r="W1845" i="57"/>
  <c r="W1882" i="57" s="1"/>
  <c r="X1845" i="57"/>
  <c r="X1882" i="57" s="1"/>
  <c r="Q1845" i="57"/>
  <c r="Q1882" i="57" s="1"/>
  <c r="E1935" i="57" s="1"/>
  <c r="E2217" i="57" s="1"/>
  <c r="P1835" i="57"/>
  <c r="P1881" i="57" s="1"/>
  <c r="I3064" i="57"/>
  <c r="I3201" i="57" s="1"/>
  <c r="I3530" i="57" s="1"/>
  <c r="F3036" i="57"/>
  <c r="F3182" i="57" s="1"/>
  <c r="F3481" i="57" s="1"/>
  <c r="G1909" i="57"/>
  <c r="G2186" i="57" s="1"/>
  <c r="G3001" i="57" s="1"/>
  <c r="G3156" i="57" s="1"/>
  <c r="G3434" i="57" s="1"/>
  <c r="I3012" i="57"/>
  <c r="J1825" i="57"/>
  <c r="H1855" i="57"/>
  <c r="H1883" i="57" s="1"/>
  <c r="H1866" i="57"/>
  <c r="H1888" i="57" s="1"/>
  <c r="G1845" i="57"/>
  <c r="G1882" i="57" s="1"/>
  <c r="H1835" i="57"/>
  <c r="H1881" i="57" s="1"/>
  <c r="G1855" i="57"/>
  <c r="G1883" i="57" s="1"/>
  <c r="I1845" i="57"/>
  <c r="I1882" i="57" s="1"/>
  <c r="I1866" i="57"/>
  <c r="I1888" i="57" s="1"/>
  <c r="G1835" i="57"/>
  <c r="G1881" i="57" s="1"/>
  <c r="I1835" i="57"/>
  <c r="I1881" i="57" s="1"/>
  <c r="I1855" i="57"/>
  <c r="I1883" i="57" s="1"/>
  <c r="H1845" i="57"/>
  <c r="H1882" i="57" s="1"/>
  <c r="G1866" i="57"/>
  <c r="G1888" i="57" s="1"/>
  <c r="H1908" i="57"/>
  <c r="H2185" i="57" s="1"/>
  <c r="H3000" i="57" s="1"/>
  <c r="H3155" i="57" s="1"/>
  <c r="H3433" i="57" s="1"/>
  <c r="H1825" i="57"/>
  <c r="AB1866" i="57" s="1"/>
  <c r="AB1888" i="57" s="1"/>
  <c r="E1906" i="57"/>
  <c r="E2183" i="57" s="1"/>
  <c r="E3064" i="57"/>
  <c r="E3201" i="57" s="1"/>
  <c r="E3530" i="57" s="1"/>
  <c r="B1908" i="57"/>
  <c r="B2185" i="57" s="1"/>
  <c r="B2266" i="57" s="1"/>
  <c r="B2371" i="57" s="1"/>
  <c r="B2542" i="57" s="1"/>
  <c r="AK1845" i="57"/>
  <c r="AK1882" i="57" s="1"/>
  <c r="AI1835" i="57"/>
  <c r="AI1881" i="57" s="1"/>
  <c r="AI1845" i="57"/>
  <c r="AI1882" i="57" s="1"/>
  <c r="AJ1855" i="57"/>
  <c r="AJ1883" i="57" s="1"/>
  <c r="AJ1866" i="57"/>
  <c r="AJ1888" i="57" s="1"/>
  <c r="AK1835" i="57"/>
  <c r="AK1881" i="57" s="1"/>
  <c r="AK1866" i="57"/>
  <c r="AK1888" i="57" s="1"/>
  <c r="AJ1835" i="57"/>
  <c r="AJ1881" i="57" s="1"/>
  <c r="AI1866" i="57"/>
  <c r="AI1888" i="57" s="1"/>
  <c r="AI1855" i="57"/>
  <c r="AI1883" i="57" s="1"/>
  <c r="AJ1845" i="57"/>
  <c r="AJ1882" i="57" s="1"/>
  <c r="AK1855" i="57"/>
  <c r="AK1883" i="57" s="1"/>
  <c r="S1865" i="57"/>
  <c r="S1887" i="57" s="1"/>
  <c r="T1854" i="57"/>
  <c r="T1880" i="57" s="1"/>
  <c r="S1844" i="57"/>
  <c r="S1879" i="57" s="1"/>
  <c r="S1854" i="57"/>
  <c r="S1880" i="57" s="1"/>
  <c r="T1834" i="57"/>
  <c r="T1878" i="57" s="1"/>
  <c r="T1865" i="57"/>
  <c r="T1887" i="57" s="1"/>
  <c r="U1844" i="57"/>
  <c r="U1879" i="57" s="1"/>
  <c r="S1834" i="57"/>
  <c r="S1878" i="57" s="1"/>
  <c r="U1834" i="57"/>
  <c r="U1878" i="57" s="1"/>
  <c r="T1844" i="57"/>
  <c r="T1879" i="57" s="1"/>
  <c r="U1865" i="57"/>
  <c r="U1887" i="57" s="1"/>
  <c r="U1854" i="57"/>
  <c r="U1880" i="57" s="1"/>
  <c r="AF1845" i="57"/>
  <c r="AF1882" i="57" s="1"/>
  <c r="AE1845" i="57"/>
  <c r="AE1882" i="57" s="1"/>
  <c r="AE1835" i="57"/>
  <c r="AE1881" i="57" s="1"/>
  <c r="AE1855" i="57"/>
  <c r="AE1883" i="57" s="1"/>
  <c r="AG1845" i="57"/>
  <c r="AG1882" i="57" s="1"/>
  <c r="AG1835" i="57"/>
  <c r="AG1881" i="57" s="1"/>
  <c r="AF1866" i="57"/>
  <c r="AF1888" i="57" s="1"/>
  <c r="AF1835" i="57"/>
  <c r="AF1881" i="57" s="1"/>
  <c r="AG1866" i="57"/>
  <c r="AG1888" i="57" s="1"/>
  <c r="AG1855" i="57"/>
  <c r="AG1883" i="57" s="1"/>
  <c r="AF1855" i="57"/>
  <c r="AF1883" i="57" s="1"/>
  <c r="AE1866" i="57"/>
  <c r="AE1888" i="57" s="1"/>
  <c r="G3445" i="57"/>
  <c r="G3167" i="57"/>
  <c r="L1845" i="57"/>
  <c r="L1882" i="57" s="1"/>
  <c r="M1845" i="57"/>
  <c r="M1882" i="57" s="1"/>
  <c r="D1910" i="57" s="1"/>
  <c r="D2187" i="57" s="1"/>
  <c r="M1835" i="57"/>
  <c r="M1881" i="57" s="1"/>
  <c r="K1845" i="57"/>
  <c r="K1882" i="57" s="1"/>
  <c r="M1855" i="57"/>
  <c r="M1883" i="57" s="1"/>
  <c r="K1866" i="57"/>
  <c r="K1888" i="57" s="1"/>
  <c r="M1866" i="57"/>
  <c r="M1888" i="57" s="1"/>
  <c r="L1866" i="57"/>
  <c r="L1888" i="57" s="1"/>
  <c r="L1855" i="57"/>
  <c r="L1883" i="57" s="1"/>
  <c r="L1835" i="57"/>
  <c r="L1881" i="57" s="1"/>
  <c r="K1855" i="57"/>
  <c r="K1883" i="57" s="1"/>
  <c r="K1835" i="57"/>
  <c r="K1881" i="57" s="1"/>
  <c r="H1844" i="57"/>
  <c r="H1879" i="57" s="1"/>
  <c r="G1834" i="57"/>
  <c r="G1878" i="57" s="1"/>
  <c r="I1844" i="57"/>
  <c r="I1879" i="57" s="1"/>
  <c r="H1854" i="57"/>
  <c r="H1880" i="57" s="1"/>
  <c r="H1865" i="57"/>
  <c r="H1887" i="57" s="1"/>
  <c r="I1854" i="57"/>
  <c r="I1880" i="57" s="1"/>
  <c r="H1834" i="57"/>
  <c r="H1878" i="57" s="1"/>
  <c r="G1844" i="57"/>
  <c r="G1879" i="57" s="1"/>
  <c r="I1865" i="57"/>
  <c r="I1887" i="57" s="1"/>
  <c r="G1854" i="57"/>
  <c r="G1880" i="57" s="1"/>
  <c r="G1865" i="57"/>
  <c r="G1887" i="57" s="1"/>
  <c r="I1834" i="57"/>
  <c r="I1878" i="57" s="1"/>
  <c r="I3537" i="57"/>
  <c r="I3204" i="57"/>
  <c r="L1834" i="57"/>
  <c r="L1878" i="57" s="1"/>
  <c r="K1865" i="57"/>
  <c r="K1887" i="57" s="1"/>
  <c r="K1834" i="57"/>
  <c r="K1878" i="57" s="1"/>
  <c r="M1854" i="57"/>
  <c r="M1880" i="57" s="1"/>
  <c r="M1865" i="57"/>
  <c r="M1887" i="57" s="1"/>
  <c r="K1844" i="57"/>
  <c r="K1879" i="57" s="1"/>
  <c r="M1844" i="57"/>
  <c r="M1879" i="57" s="1"/>
  <c r="M1834" i="57"/>
  <c r="M1878" i="57" s="1"/>
  <c r="L1865" i="57"/>
  <c r="L1887" i="57" s="1"/>
  <c r="K1854" i="57"/>
  <c r="K1880" i="57" s="1"/>
  <c r="L1844" i="57"/>
  <c r="L1879" i="57" s="1"/>
  <c r="L1854" i="57"/>
  <c r="L1880" i="57" s="1"/>
  <c r="C3449" i="57"/>
  <c r="C3171" i="57"/>
  <c r="AA1835" i="57"/>
  <c r="AA1881" i="57" s="1"/>
  <c r="AC1835" i="57"/>
  <c r="AC1881" i="57" s="1"/>
  <c r="AB1855" i="57"/>
  <c r="AB1883" i="57" s="1"/>
  <c r="D3448" i="57"/>
  <c r="D3170" i="57"/>
  <c r="H3168" i="57"/>
  <c r="H3446" i="57"/>
  <c r="J3171" i="57"/>
  <c r="J3449" i="57"/>
  <c r="C3169" i="57"/>
  <c r="C3447" i="57"/>
  <c r="I3009" i="57"/>
  <c r="I3164" i="57" s="1"/>
  <c r="I3442" i="57" s="1"/>
  <c r="I2306" i="57"/>
  <c r="I2380" i="57" s="1"/>
  <c r="I2551" i="57" s="1"/>
  <c r="E3396" i="57"/>
  <c r="E3411" i="57" s="1"/>
  <c r="E3707" i="57" s="1"/>
  <c r="E2986" i="57"/>
  <c r="E2978" i="57"/>
  <c r="E2972" i="57"/>
  <c r="E3144" i="57" s="1"/>
  <c r="E2966" i="57"/>
  <c r="E3138" i="57" s="1"/>
  <c r="E3355" i="57" s="1"/>
  <c r="E3367" i="57" s="1"/>
  <c r="E3696" i="57" s="1"/>
  <c r="E2958" i="57"/>
  <c r="E3130" i="57" s="1"/>
  <c r="E2979" i="57"/>
  <c r="E3456" i="57" s="1"/>
  <c r="E2963" i="57"/>
  <c r="E3135" i="57" s="1"/>
  <c r="E3397" i="57"/>
  <c r="E3412" i="57" s="1"/>
  <c r="E3709" i="57" s="1"/>
  <c r="E2961" i="57"/>
  <c r="E3133" i="57" s="1"/>
  <c r="E2965" i="57"/>
  <c r="E3137" i="57" s="1"/>
  <c r="E3354" i="57" s="1"/>
  <c r="E3366" i="57" s="1"/>
  <c r="E3695" i="57" s="1"/>
  <c r="E2984" i="57"/>
  <c r="E3461" i="57" s="1"/>
  <c r="E2976" i="57"/>
  <c r="E3453" i="57" s="1"/>
  <c r="E2970" i="57"/>
  <c r="E3142" i="57" s="1"/>
  <c r="E2964" i="57"/>
  <c r="E3136" i="57" s="1"/>
  <c r="E2956" i="57"/>
  <c r="E3128" i="57" s="1"/>
  <c r="E2975" i="57"/>
  <c r="E3452" i="57" s="1"/>
  <c r="E2985" i="57"/>
  <c r="E2973" i="57"/>
  <c r="E3450" i="57" s="1"/>
  <c r="E3400" i="57"/>
  <c r="E3415" i="57" s="1"/>
  <c r="E3715" i="57" s="1"/>
  <c r="E3395" i="57"/>
  <c r="E3410" i="57" s="1"/>
  <c r="E3705" i="57" s="1"/>
  <c r="E2982" i="57"/>
  <c r="E2968" i="57"/>
  <c r="E3140" i="57" s="1"/>
  <c r="E2962" i="57"/>
  <c r="E3134" i="57" s="1"/>
  <c r="E2954" i="57"/>
  <c r="E3126" i="57" s="1"/>
  <c r="E2971" i="57"/>
  <c r="E3143" i="57" s="1"/>
  <c r="E2959" i="57"/>
  <c r="E3131" i="57" s="1"/>
  <c r="E2977" i="57"/>
  <c r="E2957" i="57"/>
  <c r="E3129" i="57" s="1"/>
  <c r="E3398" i="57"/>
  <c r="E3413" i="57" s="1"/>
  <c r="E3711" i="57" s="1"/>
  <c r="E3399" i="57"/>
  <c r="E3414" i="57" s="1"/>
  <c r="E3713" i="57" s="1"/>
  <c r="E2980" i="57"/>
  <c r="E3457" i="57" s="1"/>
  <c r="E2974" i="57"/>
  <c r="E3451" i="57" s="1"/>
  <c r="E2960" i="57"/>
  <c r="E3132" i="57" s="1"/>
  <c r="E2983" i="57"/>
  <c r="E3460" i="57" s="1"/>
  <c r="E2967" i="57"/>
  <c r="E3139" i="57" s="1"/>
  <c r="E3356" i="57" s="1"/>
  <c r="E3368" i="57" s="1"/>
  <c r="E3697" i="57" s="1"/>
  <c r="E2955" i="57"/>
  <c r="E3127" i="57" s="1"/>
  <c r="E2969" i="57"/>
  <c r="E3141" i="57" s="1"/>
  <c r="E2981" i="57"/>
  <c r="E3005" i="57"/>
  <c r="E3160" i="57" s="1"/>
  <c r="E3438" i="57" s="1"/>
  <c r="E3037" i="57"/>
  <c r="E3183" i="57" s="1"/>
  <c r="E3482" i="57" s="1"/>
  <c r="E3071" i="57"/>
  <c r="E3547" i="57" s="1"/>
  <c r="E3070" i="57"/>
  <c r="E3546" i="57" s="1"/>
  <c r="E3046" i="57"/>
  <c r="E3499" i="57" s="1"/>
  <c r="E3038" i="57"/>
  <c r="E3184" i="57" s="1"/>
  <c r="E3483" i="57" s="1"/>
  <c r="E3021" i="57"/>
  <c r="E3462" i="57" s="1"/>
  <c r="E3068" i="57"/>
  <c r="E3542" i="57" s="1"/>
  <c r="E3018" i="57"/>
  <c r="E3455" i="57" s="1"/>
  <c r="E3043" i="57"/>
  <c r="E3189" i="57" s="1"/>
  <c r="E3488" i="57" s="1"/>
  <c r="E3072" i="57"/>
  <c r="E3550" i="57" s="1"/>
  <c r="E3066" i="57"/>
  <c r="E3203" i="57" s="1"/>
  <c r="E3532" i="57" s="1"/>
  <c r="E3073" i="57"/>
  <c r="E3551" i="57" s="1"/>
  <c r="E3017" i="57"/>
  <c r="E3454" i="57" s="1"/>
  <c r="E3045" i="57"/>
  <c r="E3498" i="57" s="1"/>
  <c r="E3019" i="57"/>
  <c r="E3458" i="57" s="1"/>
  <c r="E3050" i="57"/>
  <c r="E3507" i="57" s="1"/>
  <c r="E3047" i="57"/>
  <c r="E3502" i="57" s="1"/>
  <c r="E3069" i="57"/>
  <c r="E3543" i="57" s="1"/>
  <c r="E3048" i="57"/>
  <c r="E3503" i="57" s="1"/>
  <c r="E3049" i="57"/>
  <c r="E3506" i="57" s="1"/>
  <c r="E3006" i="57"/>
  <c r="E3161" i="57" s="1"/>
  <c r="E3439" i="57" s="1"/>
  <c r="E3022" i="57"/>
  <c r="E3463" i="57" s="1"/>
  <c r="E3011" i="57"/>
  <c r="E3166" i="57" s="1"/>
  <c r="E3444" i="57" s="1"/>
  <c r="E3020" i="57"/>
  <c r="E3459" i="57" s="1"/>
  <c r="E3085" i="57"/>
  <c r="E3042" i="57"/>
  <c r="E3188" i="57" s="1"/>
  <c r="E3487" i="57" s="1"/>
  <c r="E3010" i="57"/>
  <c r="E3165" i="57" s="1"/>
  <c r="E3443" i="57" s="1"/>
  <c r="E3065" i="57"/>
  <c r="E3202" i="57" s="1"/>
  <c r="E3531" i="57" s="1"/>
  <c r="D3226" i="57"/>
  <c r="D3221" i="57"/>
  <c r="D3100" i="57"/>
  <c r="D3325" i="57" s="1"/>
  <c r="D3564" i="57" s="1"/>
  <c r="D3233" i="57"/>
  <c r="D3104" i="57"/>
  <c r="D3217" i="57"/>
  <c r="D3116" i="57"/>
  <c r="D3117" i="57"/>
  <c r="D3105" i="57"/>
  <c r="D3328" i="57" s="1"/>
  <c r="D3569" i="57" s="1"/>
  <c r="D3222" i="57"/>
  <c r="D3234" i="57"/>
  <c r="D3230" i="57"/>
  <c r="D3216" i="57"/>
  <c r="D3110" i="57"/>
  <c r="D3614" i="57" s="1"/>
  <c r="D3225" i="57"/>
  <c r="D3103" i="57"/>
  <c r="D3327" i="57" s="1"/>
  <c r="D3567" i="57" s="1"/>
  <c r="D3106" i="57"/>
  <c r="D3329" i="57" s="1"/>
  <c r="D3570" i="57" s="1"/>
  <c r="D3223" i="57"/>
  <c r="D3101" i="57"/>
  <c r="D3224" i="57"/>
  <c r="D3219" i="57"/>
  <c r="D3231" i="57"/>
  <c r="D3227" i="57"/>
  <c r="D3654" i="57" s="1"/>
  <c r="D3229" i="57"/>
  <c r="D3656" i="57" s="1"/>
  <c r="D3218" i="57"/>
  <c r="D3228" i="57"/>
  <c r="D3655" i="57" s="1"/>
  <c r="D3114" i="57"/>
  <c r="D3109" i="57"/>
  <c r="D3332" i="57" s="1"/>
  <c r="D3573" i="57" s="1"/>
  <c r="D3220" i="57"/>
  <c r="D3113" i="57"/>
  <c r="D3107" i="57"/>
  <c r="D3330" i="57" s="1"/>
  <c r="D3571" i="57" s="1"/>
  <c r="D3102" i="57"/>
  <c r="D3326" i="57" s="1"/>
  <c r="D3566" i="57" s="1"/>
  <c r="D3111" i="57"/>
  <c r="D3615" i="57" s="1"/>
  <c r="D3108" i="57"/>
  <c r="D3331" i="57" s="1"/>
  <c r="D3572" i="57" s="1"/>
  <c r="D3115" i="57"/>
  <c r="D3112" i="57"/>
  <c r="D3616" i="57" s="1"/>
  <c r="D3232" i="57"/>
  <c r="D3099" i="57"/>
  <c r="D3324" i="57" s="1"/>
  <c r="D3563" i="57" s="1"/>
  <c r="H3447" i="57"/>
  <c r="H3169" i="57"/>
  <c r="G3067" i="57"/>
  <c r="I3446" i="57"/>
  <c r="I3168" i="57"/>
  <c r="E3014" i="57"/>
  <c r="E3067" i="57"/>
  <c r="D3445" i="57"/>
  <c r="D3167" i="57"/>
  <c r="G3044" i="57"/>
  <c r="G3064" i="57"/>
  <c r="G3201" i="57" s="1"/>
  <c r="G3530" i="57" s="1"/>
  <c r="E3012" i="57"/>
  <c r="J2967" i="57"/>
  <c r="J3139" i="57" s="1"/>
  <c r="J3356" i="57" s="1"/>
  <c r="J3368" i="57" s="1"/>
  <c r="J3697" i="57" s="1"/>
  <c r="J2958" i="57"/>
  <c r="J3130" i="57" s="1"/>
  <c r="J3396" i="57"/>
  <c r="J3411" i="57" s="1"/>
  <c r="J3707" i="57" s="1"/>
  <c r="J2973" i="57"/>
  <c r="J3450" i="57" s="1"/>
  <c r="J2956" i="57"/>
  <c r="J3128" i="57" s="1"/>
  <c r="J2971" i="57"/>
  <c r="J3143" i="57" s="1"/>
  <c r="J2966" i="57"/>
  <c r="J3138" i="57" s="1"/>
  <c r="J3355" i="57" s="1"/>
  <c r="J3367" i="57" s="1"/>
  <c r="J3696" i="57" s="1"/>
  <c r="J3399" i="57"/>
  <c r="J3414" i="57" s="1"/>
  <c r="J3713" i="57" s="1"/>
  <c r="J2955" i="57"/>
  <c r="J3127" i="57" s="1"/>
  <c r="J2972" i="57"/>
  <c r="J3144" i="57" s="1"/>
  <c r="J3398" i="57"/>
  <c r="J3413" i="57" s="1"/>
  <c r="J3711" i="57" s="1"/>
  <c r="J2961" i="57"/>
  <c r="J3133" i="57" s="1"/>
  <c r="J2976" i="57"/>
  <c r="J3453" i="57" s="1"/>
  <c r="J3397" i="57"/>
  <c r="J3412" i="57" s="1"/>
  <c r="J3709" i="57" s="1"/>
  <c r="J2959" i="57"/>
  <c r="J3131" i="57" s="1"/>
  <c r="J3400" i="57"/>
  <c r="J3415" i="57" s="1"/>
  <c r="J3715" i="57" s="1"/>
  <c r="J2963" i="57"/>
  <c r="J3135" i="57" s="1"/>
  <c r="J2954" i="57"/>
  <c r="J3126" i="57" s="1"/>
  <c r="J2977" i="57"/>
  <c r="J2974" i="57"/>
  <c r="J3451" i="57" s="1"/>
  <c r="J2981" i="57"/>
  <c r="J2986" i="57"/>
  <c r="J2964" i="57"/>
  <c r="J3136" i="57" s="1"/>
  <c r="J2985" i="57"/>
  <c r="J2982" i="57"/>
  <c r="J3395" i="57"/>
  <c r="J3410" i="57" s="1"/>
  <c r="J3705" i="57" s="1"/>
  <c r="J2957" i="57"/>
  <c r="J3129" i="57" s="1"/>
  <c r="J2960" i="57"/>
  <c r="J3132" i="57" s="1"/>
  <c r="J2969" i="57"/>
  <c r="J3141" i="57" s="1"/>
  <c r="J2962" i="57"/>
  <c r="J3134" i="57" s="1"/>
  <c r="J2975" i="57"/>
  <c r="J3452" i="57" s="1"/>
  <c r="J2970" i="57"/>
  <c r="J3142" i="57" s="1"/>
  <c r="J2979" i="57"/>
  <c r="J3456" i="57" s="1"/>
  <c r="J2968" i="57"/>
  <c r="J3140" i="57" s="1"/>
  <c r="J2983" i="57"/>
  <c r="J3460" i="57" s="1"/>
  <c r="J2978" i="57"/>
  <c r="J2980" i="57"/>
  <c r="J3457" i="57" s="1"/>
  <c r="J2965" i="57"/>
  <c r="J3137" i="57" s="1"/>
  <c r="J3354" i="57" s="1"/>
  <c r="J3366" i="57" s="1"/>
  <c r="J3695" i="57" s="1"/>
  <c r="J2984" i="57"/>
  <c r="J3461" i="57" s="1"/>
  <c r="J3038" i="57"/>
  <c r="J3184" i="57" s="1"/>
  <c r="J3483" i="57" s="1"/>
  <c r="J3037" i="57"/>
  <c r="J3183" i="57" s="1"/>
  <c r="J3482" i="57" s="1"/>
  <c r="J3005" i="57"/>
  <c r="J3160" i="57" s="1"/>
  <c r="J3438" i="57" s="1"/>
  <c r="J3011" i="57"/>
  <c r="J3166" i="57" s="1"/>
  <c r="J3444" i="57" s="1"/>
  <c r="J3068" i="57"/>
  <c r="J3542" i="57" s="1"/>
  <c r="J3070" i="57"/>
  <c r="J3546" i="57" s="1"/>
  <c r="J3066" i="57"/>
  <c r="J3203" i="57" s="1"/>
  <c r="J3532" i="57" s="1"/>
  <c r="J3017" i="57"/>
  <c r="J3454" i="57" s="1"/>
  <c r="J3019" i="57"/>
  <c r="J3458" i="57" s="1"/>
  <c r="J3073" i="57"/>
  <c r="J3551" i="57" s="1"/>
  <c r="J3045" i="57"/>
  <c r="J3498" i="57" s="1"/>
  <c r="J3020" i="57"/>
  <c r="J3459" i="57" s="1"/>
  <c r="J3050" i="57"/>
  <c r="J3507" i="57" s="1"/>
  <c r="J3049" i="57"/>
  <c r="J3506" i="57" s="1"/>
  <c r="J3071" i="57"/>
  <c r="J3547" i="57" s="1"/>
  <c r="J3006" i="57"/>
  <c r="J3161" i="57" s="1"/>
  <c r="J3439" i="57" s="1"/>
  <c r="J3046" i="57"/>
  <c r="J3499" i="57" s="1"/>
  <c r="J3021" i="57"/>
  <c r="J3462" i="57" s="1"/>
  <c r="J3069" i="57"/>
  <c r="J3543" i="57" s="1"/>
  <c r="J3048" i="57"/>
  <c r="J3503" i="57" s="1"/>
  <c r="J3047" i="57"/>
  <c r="J3502" i="57" s="1"/>
  <c r="J3022" i="57"/>
  <c r="J3463" i="57" s="1"/>
  <c r="J3043" i="57"/>
  <c r="J3189" i="57" s="1"/>
  <c r="J3488" i="57" s="1"/>
  <c r="J3018" i="57"/>
  <c r="J3455" i="57" s="1"/>
  <c r="J3072" i="57"/>
  <c r="J3550" i="57" s="1"/>
  <c r="J3010" i="57"/>
  <c r="J3165" i="57" s="1"/>
  <c r="J3443" i="57" s="1"/>
  <c r="J3065" i="57"/>
  <c r="J3202" i="57" s="1"/>
  <c r="J3531" i="57" s="1"/>
  <c r="J3042" i="57"/>
  <c r="J3188" i="57" s="1"/>
  <c r="J3487" i="57" s="1"/>
  <c r="D3171" i="57"/>
  <c r="D3449" i="57"/>
  <c r="F3399" i="57"/>
  <c r="F3414" i="57" s="1"/>
  <c r="F3713" i="57" s="1"/>
  <c r="F2983" i="57"/>
  <c r="F3460" i="57" s="1"/>
  <c r="F2975" i="57"/>
  <c r="F3452" i="57" s="1"/>
  <c r="F2967" i="57"/>
  <c r="F3139" i="57" s="1"/>
  <c r="F3356" i="57" s="1"/>
  <c r="F3368" i="57" s="1"/>
  <c r="F3697" i="57" s="1"/>
  <c r="F2959" i="57"/>
  <c r="F3131" i="57" s="1"/>
  <c r="F2984" i="57"/>
  <c r="F3461" i="57" s="1"/>
  <c r="F2968" i="57"/>
  <c r="F3140" i="57" s="1"/>
  <c r="F2958" i="57"/>
  <c r="F3130" i="57" s="1"/>
  <c r="F3069" i="57"/>
  <c r="F3543" i="57" s="1"/>
  <c r="F3022" i="57"/>
  <c r="F3463" i="57" s="1"/>
  <c r="F3400" i="57"/>
  <c r="F3415" i="57" s="1"/>
  <c r="F3715" i="57" s="1"/>
  <c r="F3397" i="57"/>
  <c r="F3412" i="57" s="1"/>
  <c r="F3709" i="57" s="1"/>
  <c r="F2981" i="57"/>
  <c r="F2973" i="57"/>
  <c r="F3450" i="57" s="1"/>
  <c r="F2965" i="57"/>
  <c r="F3137" i="57" s="1"/>
  <c r="F3354" i="57" s="1"/>
  <c r="F3366" i="57" s="1"/>
  <c r="F3695" i="57" s="1"/>
  <c r="F2957" i="57"/>
  <c r="F3129" i="57" s="1"/>
  <c r="F2980" i="57"/>
  <c r="F3457" i="57" s="1"/>
  <c r="F2964" i="57"/>
  <c r="F3136" i="57" s="1"/>
  <c r="F2986" i="57"/>
  <c r="F2962" i="57"/>
  <c r="F3134" i="57" s="1"/>
  <c r="F2966" i="57"/>
  <c r="F3138" i="57" s="1"/>
  <c r="F3355" i="57" s="1"/>
  <c r="F3367" i="57" s="1"/>
  <c r="F3696" i="57" s="1"/>
  <c r="F3072" i="57"/>
  <c r="F3550" i="57" s="1"/>
  <c r="F3048" i="57"/>
  <c r="F3503" i="57" s="1"/>
  <c r="F3020" i="57"/>
  <c r="F3459" i="57" s="1"/>
  <c r="F3046" i="57"/>
  <c r="F3499" i="57" s="1"/>
  <c r="F3398" i="57"/>
  <c r="F3413" i="57" s="1"/>
  <c r="F3711" i="57" s="1"/>
  <c r="F3395" i="57"/>
  <c r="F3410" i="57" s="1"/>
  <c r="F3705" i="57" s="1"/>
  <c r="F2979" i="57"/>
  <c r="F3456" i="57" s="1"/>
  <c r="F2971" i="57"/>
  <c r="F3143" i="57" s="1"/>
  <c r="F2963" i="57"/>
  <c r="F3135" i="57" s="1"/>
  <c r="F2955" i="57"/>
  <c r="F3127" i="57" s="1"/>
  <c r="F2976" i="57"/>
  <c r="F3453" i="57" s="1"/>
  <c r="F2960" i="57"/>
  <c r="F3132" i="57" s="1"/>
  <c r="F2978" i="57"/>
  <c r="F2954" i="57"/>
  <c r="F3126" i="57" s="1"/>
  <c r="F3018" i="57"/>
  <c r="F3455" i="57" s="1"/>
  <c r="F3396" i="57"/>
  <c r="F3411" i="57" s="1"/>
  <c r="F3707" i="57" s="1"/>
  <c r="F2985" i="57"/>
  <c r="F2977" i="57"/>
  <c r="F2969" i="57"/>
  <c r="F3141" i="57" s="1"/>
  <c r="F2961" i="57"/>
  <c r="F3133" i="57" s="1"/>
  <c r="F2972" i="57"/>
  <c r="F3144" i="57" s="1"/>
  <c r="F2956" i="57"/>
  <c r="F3128" i="57" s="1"/>
  <c r="F2970" i="57"/>
  <c r="F3142" i="57" s="1"/>
  <c r="F2974" i="57"/>
  <c r="F3451" i="57" s="1"/>
  <c r="F2982" i="57"/>
  <c r="F3050" i="57"/>
  <c r="F3507" i="57" s="1"/>
  <c r="F3071" i="57"/>
  <c r="F3547" i="57" s="1"/>
  <c r="F3021" i="57"/>
  <c r="F3462" i="57" s="1"/>
  <c r="F3049" i="57"/>
  <c r="F3506" i="57" s="1"/>
  <c r="F3073" i="57"/>
  <c r="F3551" i="57" s="1"/>
  <c r="F3047" i="57"/>
  <c r="F3502" i="57" s="1"/>
  <c r="F3037" i="57"/>
  <c r="F3183" i="57" s="1"/>
  <c r="F3482" i="57" s="1"/>
  <c r="F3017" i="57"/>
  <c r="F3454" i="57" s="1"/>
  <c r="F3019" i="57"/>
  <c r="F3458" i="57" s="1"/>
  <c r="F3066" i="57"/>
  <c r="F3203" i="57" s="1"/>
  <c r="F3532" i="57" s="1"/>
  <c r="F3068" i="57"/>
  <c r="F3542" i="57" s="1"/>
  <c r="F3045" i="57"/>
  <c r="F3498" i="57" s="1"/>
  <c r="F3070" i="57"/>
  <c r="F3546" i="57" s="1"/>
  <c r="F3005" i="57"/>
  <c r="F3160" i="57" s="1"/>
  <c r="F3438" i="57" s="1"/>
  <c r="F3006" i="57"/>
  <c r="F3161" i="57" s="1"/>
  <c r="F3439" i="57" s="1"/>
  <c r="F3011" i="57"/>
  <c r="F3166" i="57" s="1"/>
  <c r="F3444" i="57" s="1"/>
  <c r="F3085" i="57"/>
  <c r="F3043" i="57"/>
  <c r="F3189" i="57" s="1"/>
  <c r="F3488" i="57" s="1"/>
  <c r="F3038" i="57"/>
  <c r="F3184" i="57" s="1"/>
  <c r="F3483" i="57" s="1"/>
  <c r="F3010" i="57"/>
  <c r="F3165" i="57" s="1"/>
  <c r="F3443" i="57" s="1"/>
  <c r="F3065" i="57"/>
  <c r="F3202" i="57" s="1"/>
  <c r="F3531" i="57" s="1"/>
  <c r="F3042" i="57"/>
  <c r="F3188" i="57" s="1"/>
  <c r="F3487" i="57" s="1"/>
  <c r="B3446" i="57"/>
  <c r="B3168" i="57"/>
  <c r="I3016" i="57"/>
  <c r="F3041" i="57"/>
  <c r="F3187" i="57" s="1"/>
  <c r="F3486" i="57" s="1"/>
  <c r="F3012" i="57"/>
  <c r="G1908" i="57"/>
  <c r="G2185" i="57" s="1"/>
  <c r="G3000" i="57" s="1"/>
  <c r="G3155" i="57" s="1"/>
  <c r="G3433" i="57" s="1"/>
  <c r="B1906" i="57"/>
  <c r="B2183" i="57" s="1"/>
  <c r="G1911" i="57"/>
  <c r="G2188" i="57" s="1"/>
  <c r="G3003" i="57" s="1"/>
  <c r="G3158" i="57" s="1"/>
  <c r="G3436" i="57" s="1"/>
  <c r="E1911" i="57"/>
  <c r="E2188" i="57" s="1"/>
  <c r="E3003" i="57" s="1"/>
  <c r="E3158" i="57" s="1"/>
  <c r="E3436" i="57" s="1"/>
  <c r="G3399" i="57"/>
  <c r="G3414" i="57" s="1"/>
  <c r="G3713" i="57" s="1"/>
  <c r="G3400" i="57"/>
  <c r="G3415" i="57" s="1"/>
  <c r="G3715" i="57" s="1"/>
  <c r="G2975" i="57"/>
  <c r="G3452" i="57" s="1"/>
  <c r="G3397" i="57"/>
  <c r="G3412" i="57" s="1"/>
  <c r="G3709" i="57" s="1"/>
  <c r="G2959" i="57"/>
  <c r="G3131" i="57" s="1"/>
  <c r="G3395" i="57"/>
  <c r="G3410" i="57" s="1"/>
  <c r="G3705" i="57" s="1"/>
  <c r="G3398" i="57"/>
  <c r="G3413" i="57" s="1"/>
  <c r="G3711" i="57" s="1"/>
  <c r="G3396" i="57"/>
  <c r="G3411" i="57" s="1"/>
  <c r="G3707" i="57" s="1"/>
  <c r="G2965" i="57"/>
  <c r="G3137" i="57" s="1"/>
  <c r="G3354" i="57" s="1"/>
  <c r="G3366" i="57" s="1"/>
  <c r="G3695" i="57" s="1"/>
  <c r="G3073" i="57"/>
  <c r="G3551" i="57" s="1"/>
  <c r="G3050" i="57"/>
  <c r="G3507" i="57" s="1"/>
  <c r="G3017" i="57"/>
  <c r="G3454" i="57" s="1"/>
  <c r="G3069" i="57"/>
  <c r="G3543" i="57" s="1"/>
  <c r="G2958" i="57"/>
  <c r="G3130" i="57" s="1"/>
  <c r="G2970" i="57"/>
  <c r="G3142" i="57" s="1"/>
  <c r="G2980" i="57"/>
  <c r="G3457" i="57" s="1"/>
  <c r="G3021" i="57"/>
  <c r="G3462" i="57" s="1"/>
  <c r="G2963" i="57"/>
  <c r="G3135" i="57" s="1"/>
  <c r="G3037" i="57"/>
  <c r="G3183" i="57" s="1"/>
  <c r="G3482" i="57" s="1"/>
  <c r="G2981" i="57"/>
  <c r="G2984" i="57"/>
  <c r="G3461" i="57" s="1"/>
  <c r="G2972" i="57"/>
  <c r="G3144" i="57" s="1"/>
  <c r="G3038" i="57"/>
  <c r="G3184" i="57" s="1"/>
  <c r="G3483" i="57" s="1"/>
  <c r="G2966" i="57"/>
  <c r="G3138" i="57" s="1"/>
  <c r="G3355" i="57" s="1"/>
  <c r="G3367" i="57" s="1"/>
  <c r="G3696" i="57" s="1"/>
  <c r="G2974" i="57"/>
  <c r="G3451" i="57" s="1"/>
  <c r="G2967" i="57"/>
  <c r="G3139" i="57" s="1"/>
  <c r="G3356" i="57" s="1"/>
  <c r="G3368" i="57" s="1"/>
  <c r="G3697" i="57" s="1"/>
  <c r="G3071" i="57"/>
  <c r="G3547" i="57" s="1"/>
  <c r="G3047" i="57"/>
  <c r="G3502" i="57" s="1"/>
  <c r="G2977" i="57"/>
  <c r="G2986" i="57"/>
  <c r="G3045" i="57"/>
  <c r="G3498" i="57" s="1"/>
  <c r="G3068" i="57"/>
  <c r="G3542" i="57" s="1"/>
  <c r="G2964" i="57"/>
  <c r="G3136" i="57" s="1"/>
  <c r="G2982" i="57"/>
  <c r="G2971" i="57"/>
  <c r="G3143" i="57" s="1"/>
  <c r="G2956" i="57"/>
  <c r="G3128" i="57" s="1"/>
  <c r="G3049" i="57"/>
  <c r="G3506" i="57" s="1"/>
  <c r="G2961" i="57"/>
  <c r="G3133" i="57" s="1"/>
  <c r="G2969" i="57"/>
  <c r="G3141" i="57" s="1"/>
  <c r="G2973" i="57"/>
  <c r="G3450" i="57" s="1"/>
  <c r="G2976" i="57"/>
  <c r="G3453" i="57" s="1"/>
  <c r="G2960" i="57"/>
  <c r="G3132" i="57" s="1"/>
  <c r="G2954" i="57"/>
  <c r="G3126" i="57" s="1"/>
  <c r="G3046" i="57"/>
  <c r="G3499" i="57" s="1"/>
  <c r="G3048" i="57"/>
  <c r="G3503" i="57" s="1"/>
  <c r="G3018" i="57"/>
  <c r="G3455" i="57" s="1"/>
  <c r="G2968" i="57"/>
  <c r="G3140" i="57" s="1"/>
  <c r="G3072" i="57"/>
  <c r="G3550" i="57" s="1"/>
  <c r="G3070" i="57"/>
  <c r="G3546" i="57" s="1"/>
  <c r="G2962" i="57"/>
  <c r="G3134" i="57" s="1"/>
  <c r="G2979" i="57"/>
  <c r="G3456" i="57" s="1"/>
  <c r="G3043" i="57"/>
  <c r="G3189" i="57" s="1"/>
  <c r="G3488" i="57" s="1"/>
  <c r="G3066" i="57"/>
  <c r="G3203" i="57" s="1"/>
  <c r="G3532" i="57" s="1"/>
  <c r="G2955" i="57"/>
  <c r="G3127" i="57" s="1"/>
  <c r="G3006" i="57"/>
  <c r="G3161" i="57" s="1"/>
  <c r="G3439" i="57" s="1"/>
  <c r="G3022" i="57"/>
  <c r="G3463" i="57" s="1"/>
  <c r="G2978" i="57"/>
  <c r="G2983" i="57"/>
  <c r="G3460" i="57" s="1"/>
  <c r="G3020" i="57"/>
  <c r="G3459" i="57" s="1"/>
  <c r="G2985" i="57"/>
  <c r="G3005" i="57"/>
  <c r="G3160" i="57" s="1"/>
  <c r="G3438" i="57" s="1"/>
  <c r="G3019" i="57"/>
  <c r="G3458" i="57" s="1"/>
  <c r="G2957" i="57"/>
  <c r="G3129" i="57" s="1"/>
  <c r="G3085" i="57"/>
  <c r="G3011" i="57"/>
  <c r="G3166" i="57" s="1"/>
  <c r="G3444" i="57" s="1"/>
  <c r="G3042" i="57"/>
  <c r="G3188" i="57" s="1"/>
  <c r="G3487" i="57" s="1"/>
  <c r="G3065" i="57"/>
  <c r="G3202" i="57" s="1"/>
  <c r="G3531" i="57" s="1"/>
  <c r="G3010" i="57"/>
  <c r="G3165" i="57" s="1"/>
  <c r="G3443" i="57" s="1"/>
  <c r="J3537" i="57"/>
  <c r="J3204" i="57"/>
  <c r="B3170" i="57"/>
  <c r="B3448" i="57"/>
  <c r="G3014" i="57"/>
  <c r="E3015" i="57"/>
  <c r="D3446" i="57"/>
  <c r="D3168" i="57"/>
  <c r="J3493" i="57"/>
  <c r="J3190" i="57"/>
  <c r="C3446" i="57"/>
  <c r="C3168" i="57"/>
  <c r="B3009" i="57"/>
  <c r="B3164" i="57" s="1"/>
  <c r="B3442" i="57" s="1"/>
  <c r="B2306" i="57"/>
  <c r="B2380" i="57" s="1"/>
  <c r="B2551" i="57" s="1"/>
  <c r="H3448" i="57"/>
  <c r="H3170" i="57"/>
  <c r="J3448" i="57"/>
  <c r="J3170" i="57"/>
  <c r="C3004" i="57"/>
  <c r="C3159" i="57" s="1"/>
  <c r="C3437" i="57" s="1"/>
  <c r="G3013" i="57"/>
  <c r="C3009" i="57"/>
  <c r="C3164" i="57" s="1"/>
  <c r="C3442" i="57" s="1"/>
  <c r="C2306" i="57"/>
  <c r="C2380" i="57" s="1"/>
  <c r="C2551" i="57" s="1"/>
  <c r="G3009" i="57"/>
  <c r="G3164" i="57" s="1"/>
  <c r="G3442" i="57" s="1"/>
  <c r="G2306" i="57"/>
  <c r="G2380" i="57" s="1"/>
  <c r="G2551" i="57" s="1"/>
  <c r="F3446" i="57"/>
  <c r="F3168" i="57"/>
  <c r="J3013" i="57"/>
  <c r="D3009" i="57"/>
  <c r="D3164" i="57" s="1"/>
  <c r="D3442" i="57" s="1"/>
  <c r="D2306" i="57"/>
  <c r="D2380" i="57" s="1"/>
  <c r="D2551" i="57" s="1"/>
  <c r="E3013" i="57"/>
  <c r="E1908" i="57"/>
  <c r="E2185" i="57" s="1"/>
  <c r="E2266" i="57" s="1"/>
  <c r="E2371" i="57" s="1"/>
  <c r="E2542" i="57" s="1"/>
  <c r="I3190" i="57"/>
  <c r="I3493" i="57"/>
  <c r="E3009" i="57"/>
  <c r="E3164" i="57" s="1"/>
  <c r="E3442" i="57" s="1"/>
  <c r="E2306" i="57"/>
  <c r="E2380" i="57" s="1"/>
  <c r="E2551" i="57" s="1"/>
  <c r="F3537" i="57"/>
  <c r="F3204" i="57"/>
  <c r="F1825" i="57"/>
  <c r="H3445" i="57"/>
  <c r="H3167" i="57"/>
  <c r="J3167" i="57"/>
  <c r="J3445" i="57"/>
  <c r="I3167" i="57"/>
  <c r="I3445" i="57"/>
  <c r="H3009" i="57"/>
  <c r="H3164" i="57" s="1"/>
  <c r="H3442" i="57" s="1"/>
  <c r="H2306" i="57"/>
  <c r="H2380" i="57" s="1"/>
  <c r="H2551" i="57" s="1"/>
  <c r="E3016" i="57"/>
  <c r="C3397" i="57"/>
  <c r="C3412" i="57" s="1"/>
  <c r="C3709" i="57" s="1"/>
  <c r="C3400" i="57"/>
  <c r="C3415" i="57" s="1"/>
  <c r="C3715" i="57" s="1"/>
  <c r="C2979" i="57"/>
  <c r="C3456" i="57" s="1"/>
  <c r="C2963" i="57"/>
  <c r="C3135" i="57" s="1"/>
  <c r="C2955" i="57"/>
  <c r="C3127" i="57" s="1"/>
  <c r="C2964" i="57"/>
  <c r="C3136" i="57" s="1"/>
  <c r="C2986" i="57"/>
  <c r="C2954" i="57"/>
  <c r="C3126" i="57" s="1"/>
  <c r="C2974" i="57"/>
  <c r="C3451" i="57" s="1"/>
  <c r="C3395" i="57"/>
  <c r="C3410" i="57" s="1"/>
  <c r="C3705" i="57" s="1"/>
  <c r="C2985" i="57"/>
  <c r="C2971" i="57"/>
  <c r="C3143" i="57" s="1"/>
  <c r="C2961" i="57"/>
  <c r="C3133" i="57" s="1"/>
  <c r="C3398" i="57"/>
  <c r="C3413" i="57" s="1"/>
  <c r="C3711" i="57" s="1"/>
  <c r="C2976" i="57"/>
  <c r="C3453" i="57" s="1"/>
  <c r="C2978" i="57"/>
  <c r="C2983" i="57"/>
  <c r="C3460" i="57" s="1"/>
  <c r="C2977" i="57"/>
  <c r="C2969" i="57"/>
  <c r="C3141" i="57" s="1"/>
  <c r="C2972" i="57"/>
  <c r="C3144" i="57" s="1"/>
  <c r="C2960" i="57"/>
  <c r="C3132" i="57" s="1"/>
  <c r="C2970" i="57"/>
  <c r="C3142" i="57" s="1"/>
  <c r="C2982" i="57"/>
  <c r="C2958" i="57"/>
  <c r="C3130" i="57" s="1"/>
  <c r="C3399" i="57"/>
  <c r="C3414" i="57" s="1"/>
  <c r="C3713" i="57" s="1"/>
  <c r="C3396" i="57"/>
  <c r="C3411" i="57" s="1"/>
  <c r="C3707" i="57" s="1"/>
  <c r="C2981" i="57"/>
  <c r="C2975" i="57"/>
  <c r="C3452" i="57" s="1"/>
  <c r="C2965" i="57"/>
  <c r="C3137" i="57" s="1"/>
  <c r="C3354" i="57" s="1"/>
  <c r="C3366" i="57" s="1"/>
  <c r="C3695" i="57" s="1"/>
  <c r="C2959" i="57"/>
  <c r="C3131" i="57" s="1"/>
  <c r="C2980" i="57"/>
  <c r="C3457" i="57" s="1"/>
  <c r="C2968" i="57"/>
  <c r="C3140" i="57" s="1"/>
  <c r="C2956" i="57"/>
  <c r="C3128" i="57" s="1"/>
  <c r="C2962" i="57"/>
  <c r="C3134" i="57" s="1"/>
  <c r="C2966" i="57"/>
  <c r="C3138" i="57" s="1"/>
  <c r="C3355" i="57" s="1"/>
  <c r="C3367" i="57" s="1"/>
  <c r="C3696" i="57" s="1"/>
  <c r="C2984" i="57"/>
  <c r="C3461" i="57" s="1"/>
  <c r="C2967" i="57"/>
  <c r="C3139" i="57" s="1"/>
  <c r="C3356" i="57" s="1"/>
  <c r="C3368" i="57" s="1"/>
  <c r="C3697" i="57" s="1"/>
  <c r="C2973" i="57"/>
  <c r="C3450" i="57" s="1"/>
  <c r="C2957" i="57"/>
  <c r="C3129" i="57" s="1"/>
  <c r="C3085" i="57"/>
  <c r="C3066" i="57"/>
  <c r="C3203" i="57" s="1"/>
  <c r="C3532" i="57" s="1"/>
  <c r="C3069" i="57"/>
  <c r="C3543" i="57" s="1"/>
  <c r="C3045" i="57"/>
  <c r="C3498" i="57" s="1"/>
  <c r="C3047" i="57"/>
  <c r="C3502" i="57" s="1"/>
  <c r="C3020" i="57"/>
  <c r="C3459" i="57" s="1"/>
  <c r="C3070" i="57"/>
  <c r="C3546" i="57" s="1"/>
  <c r="C3046" i="57"/>
  <c r="C3499" i="57" s="1"/>
  <c r="C3068" i="57"/>
  <c r="C3542" i="57" s="1"/>
  <c r="C3038" i="57"/>
  <c r="C3184" i="57" s="1"/>
  <c r="C3483" i="57" s="1"/>
  <c r="C3021" i="57"/>
  <c r="C3462" i="57" s="1"/>
  <c r="C3011" i="57"/>
  <c r="C3166" i="57" s="1"/>
  <c r="C3444" i="57" s="1"/>
  <c r="C3073" i="57"/>
  <c r="C3551" i="57" s="1"/>
  <c r="C3006" i="57"/>
  <c r="C3161" i="57" s="1"/>
  <c r="C3439" i="57" s="1"/>
  <c r="C3005" i="57"/>
  <c r="C3160" i="57" s="1"/>
  <c r="C3438" i="57" s="1"/>
  <c r="C3049" i="57"/>
  <c r="C3506" i="57" s="1"/>
  <c r="C3017" i="57"/>
  <c r="C3454" i="57" s="1"/>
  <c r="C3050" i="57"/>
  <c r="C3507" i="57" s="1"/>
  <c r="C3048" i="57"/>
  <c r="C3503" i="57" s="1"/>
  <c r="C3022" i="57"/>
  <c r="C3463" i="57" s="1"/>
  <c r="C3071" i="57"/>
  <c r="C3547" i="57" s="1"/>
  <c r="C3072" i="57"/>
  <c r="C3550" i="57" s="1"/>
  <c r="C3018" i="57"/>
  <c r="C3455" i="57" s="1"/>
  <c r="C3037" i="57"/>
  <c r="C3183" i="57" s="1"/>
  <c r="C3482" i="57" s="1"/>
  <c r="C3019" i="57"/>
  <c r="C3458" i="57" s="1"/>
  <c r="C3065" i="57"/>
  <c r="C3202" i="57" s="1"/>
  <c r="C3531" i="57" s="1"/>
  <c r="C3042" i="57"/>
  <c r="C3188" i="57" s="1"/>
  <c r="C3487" i="57" s="1"/>
  <c r="C3043" i="57"/>
  <c r="C3189" i="57" s="1"/>
  <c r="C3488" i="57" s="1"/>
  <c r="C3010" i="57"/>
  <c r="C3165" i="57" s="1"/>
  <c r="C3443" i="57" s="1"/>
  <c r="J3009" i="57"/>
  <c r="J3164" i="57" s="1"/>
  <c r="J3442" i="57" s="1"/>
  <c r="J2306" i="57"/>
  <c r="J2380" i="57" s="1"/>
  <c r="J2551" i="57" s="1"/>
  <c r="C3064" i="57"/>
  <c r="C3201" i="57" s="1"/>
  <c r="C3530" i="57" s="1"/>
  <c r="G3041" i="57"/>
  <c r="G3187" i="57" s="1"/>
  <c r="G3486" i="57" s="1"/>
  <c r="H3017" i="57"/>
  <c r="H3454" i="57" s="1"/>
  <c r="H3049" i="57"/>
  <c r="H3506" i="57" s="1"/>
  <c r="H3070" i="57"/>
  <c r="H3546" i="57" s="1"/>
  <c r="H3020" i="57"/>
  <c r="H3459" i="57" s="1"/>
  <c r="H3399" i="57"/>
  <c r="H3414" i="57" s="1"/>
  <c r="H3713" i="57" s="1"/>
  <c r="H3400" i="57"/>
  <c r="H3415" i="57" s="1"/>
  <c r="H3715" i="57" s="1"/>
  <c r="H2984" i="57"/>
  <c r="H3461" i="57" s="1"/>
  <c r="H2978" i="57"/>
  <c r="H2970" i="57"/>
  <c r="H3142" i="57" s="1"/>
  <c r="H2964" i="57"/>
  <c r="H3136" i="57" s="1"/>
  <c r="H2956" i="57"/>
  <c r="H3128" i="57" s="1"/>
  <c r="H2979" i="57"/>
  <c r="H3456" i="57" s="1"/>
  <c r="H2967" i="57"/>
  <c r="H3139" i="57" s="1"/>
  <c r="H3356" i="57" s="1"/>
  <c r="H3368" i="57" s="1"/>
  <c r="H3697" i="57" s="1"/>
  <c r="H2985" i="57"/>
  <c r="H2981" i="57"/>
  <c r="H3068" i="57"/>
  <c r="H3542" i="57" s="1"/>
  <c r="H3019" i="57"/>
  <c r="H3458" i="57" s="1"/>
  <c r="H3397" i="57"/>
  <c r="H3412" i="57" s="1"/>
  <c r="H3709" i="57" s="1"/>
  <c r="H3398" i="57"/>
  <c r="H3413" i="57" s="1"/>
  <c r="H3711" i="57" s="1"/>
  <c r="H2976" i="57"/>
  <c r="H3453" i="57" s="1"/>
  <c r="H2968" i="57"/>
  <c r="H3140" i="57" s="1"/>
  <c r="H2962" i="57"/>
  <c r="H3134" i="57" s="1"/>
  <c r="H2954" i="57"/>
  <c r="H3126" i="57" s="1"/>
  <c r="H2963" i="57"/>
  <c r="H3135" i="57" s="1"/>
  <c r="H2977" i="57"/>
  <c r="H2965" i="57"/>
  <c r="H3137" i="57" s="1"/>
  <c r="H3354" i="57" s="1"/>
  <c r="H3366" i="57" s="1"/>
  <c r="H3695" i="57" s="1"/>
  <c r="H2957" i="57"/>
  <c r="H3129" i="57" s="1"/>
  <c r="H3045" i="57"/>
  <c r="H3498" i="57" s="1"/>
  <c r="H3021" i="57"/>
  <c r="H3462" i="57" s="1"/>
  <c r="H3022" i="57"/>
  <c r="H3463" i="57" s="1"/>
  <c r="H3395" i="57"/>
  <c r="H3410" i="57" s="1"/>
  <c r="H3705" i="57" s="1"/>
  <c r="H3396" i="57"/>
  <c r="H3411" i="57" s="1"/>
  <c r="H3707" i="57" s="1"/>
  <c r="H2982" i="57"/>
  <c r="H2974" i="57"/>
  <c r="H3451" i="57" s="1"/>
  <c r="H2966" i="57"/>
  <c r="H3138" i="57" s="1"/>
  <c r="H3355" i="57" s="1"/>
  <c r="H3367" i="57" s="1"/>
  <c r="H3696" i="57" s="1"/>
  <c r="H2960" i="57"/>
  <c r="H3132" i="57" s="1"/>
  <c r="H2975" i="57"/>
  <c r="H3452" i="57" s="1"/>
  <c r="H2959" i="57"/>
  <c r="H3131" i="57" s="1"/>
  <c r="H2969" i="57"/>
  <c r="H3141" i="57" s="1"/>
  <c r="H3072" i="57"/>
  <c r="H3550" i="57" s="1"/>
  <c r="H3048" i="57"/>
  <c r="H3503" i="57" s="1"/>
  <c r="H3050" i="57"/>
  <c r="H3507" i="57" s="1"/>
  <c r="H3071" i="57"/>
  <c r="H3547" i="57" s="1"/>
  <c r="H2986" i="57"/>
  <c r="H2980" i="57"/>
  <c r="H3457" i="57" s="1"/>
  <c r="H2972" i="57"/>
  <c r="H3144" i="57" s="1"/>
  <c r="H2958" i="57"/>
  <c r="H3130" i="57" s="1"/>
  <c r="H2983" i="57"/>
  <c r="H3460" i="57" s="1"/>
  <c r="H2971" i="57"/>
  <c r="H3143" i="57" s="1"/>
  <c r="H2955" i="57"/>
  <c r="H3127" i="57" s="1"/>
  <c r="H2961" i="57"/>
  <c r="H3133" i="57" s="1"/>
  <c r="H2973" i="57"/>
  <c r="H3450" i="57" s="1"/>
  <c r="H3047" i="57"/>
  <c r="H3502" i="57" s="1"/>
  <c r="H3073" i="57"/>
  <c r="H3551" i="57" s="1"/>
  <c r="H3018" i="57"/>
  <c r="H3455" i="57" s="1"/>
  <c r="H3046" i="57"/>
  <c r="H3499" i="57" s="1"/>
  <c r="H3069" i="57"/>
  <c r="H3543" i="57" s="1"/>
  <c r="H3038" i="57"/>
  <c r="H3184" i="57" s="1"/>
  <c r="H3483" i="57" s="1"/>
  <c r="H3011" i="57"/>
  <c r="H3166" i="57" s="1"/>
  <c r="H3444" i="57" s="1"/>
  <c r="H3005" i="57"/>
  <c r="H3160" i="57" s="1"/>
  <c r="H3438" i="57" s="1"/>
  <c r="H3043" i="57"/>
  <c r="H3189" i="57" s="1"/>
  <c r="H3488" i="57" s="1"/>
  <c r="H3006" i="57"/>
  <c r="H3161" i="57" s="1"/>
  <c r="H3439" i="57" s="1"/>
  <c r="H3066" i="57"/>
  <c r="H3203" i="57" s="1"/>
  <c r="H3532" i="57" s="1"/>
  <c r="H3085" i="57"/>
  <c r="H3037" i="57"/>
  <c r="H3183" i="57" s="1"/>
  <c r="H3482" i="57" s="1"/>
  <c r="H3042" i="57"/>
  <c r="H3188" i="57" s="1"/>
  <c r="H3487" i="57" s="1"/>
  <c r="H3010" i="57"/>
  <c r="H3165" i="57" s="1"/>
  <c r="H3443" i="57" s="1"/>
  <c r="H3065" i="57"/>
  <c r="H3202" i="57" s="1"/>
  <c r="H3531" i="57" s="1"/>
  <c r="E3036" i="57"/>
  <c r="E3182" i="57" s="1"/>
  <c r="E3481" i="57" s="1"/>
  <c r="D3169" i="57"/>
  <c r="D3447" i="57"/>
  <c r="H3016" i="57"/>
  <c r="J3036" i="57"/>
  <c r="J3182" i="57" s="1"/>
  <c r="J3481" i="57" s="1"/>
  <c r="B3445" i="57"/>
  <c r="B3167" i="57"/>
  <c r="G3016" i="57"/>
  <c r="F3064" i="57"/>
  <c r="F3201" i="57" s="1"/>
  <c r="F3530" i="57" s="1"/>
  <c r="G3036" i="57"/>
  <c r="G3182" i="57" s="1"/>
  <c r="G3481" i="57" s="1"/>
  <c r="F3015" i="57"/>
  <c r="I1908" i="57"/>
  <c r="I2185" i="57" s="1"/>
  <c r="I1906" i="57"/>
  <c r="I2183" i="57" s="1"/>
  <c r="I2265" i="57" s="1"/>
  <c r="I2369" i="57" s="1"/>
  <c r="E1909" i="57"/>
  <c r="E2186" i="57" s="1"/>
  <c r="B3449" i="57"/>
  <c r="B3171" i="57"/>
  <c r="C3537" i="57"/>
  <c r="C3204" i="57"/>
  <c r="G3015" i="57"/>
  <c r="E3041" i="57"/>
  <c r="E3187" i="57" s="1"/>
  <c r="E3486" i="57" s="1"/>
  <c r="G3004" i="57"/>
  <c r="G3159" i="57" s="1"/>
  <c r="G3437" i="57" s="1"/>
  <c r="F3493" i="57"/>
  <c r="F3190" i="57"/>
  <c r="C3445" i="57"/>
  <c r="C3167" i="57"/>
  <c r="I3398" i="57"/>
  <c r="I3413" i="57" s="1"/>
  <c r="I3711" i="57" s="1"/>
  <c r="I2977" i="57"/>
  <c r="I3068" i="57"/>
  <c r="I3542" i="57" s="1"/>
  <c r="I3396" i="57"/>
  <c r="I3411" i="57" s="1"/>
  <c r="I3707" i="57" s="1"/>
  <c r="I2974" i="57"/>
  <c r="I3451" i="57" s="1"/>
  <c r="I2961" i="57"/>
  <c r="I3133" i="57" s="1"/>
  <c r="I3045" i="57"/>
  <c r="I3498" i="57" s="1"/>
  <c r="I2984" i="57"/>
  <c r="I3461" i="57" s="1"/>
  <c r="I2958" i="57"/>
  <c r="I3130" i="57" s="1"/>
  <c r="I2967" i="57"/>
  <c r="I3139" i="57" s="1"/>
  <c r="I3356" i="57" s="1"/>
  <c r="I3368" i="57" s="1"/>
  <c r="I3697" i="57" s="1"/>
  <c r="I3017" i="57"/>
  <c r="I3454" i="57" s="1"/>
  <c r="I3400" i="57"/>
  <c r="I3415" i="57" s="1"/>
  <c r="I3715" i="57" s="1"/>
  <c r="I2980" i="57"/>
  <c r="I3457" i="57" s="1"/>
  <c r="I3395" i="57"/>
  <c r="I3410" i="57" s="1"/>
  <c r="I3705" i="57" s="1"/>
  <c r="I2963" i="57"/>
  <c r="I3135" i="57" s="1"/>
  <c r="I2971" i="57"/>
  <c r="I3143" i="57" s="1"/>
  <c r="I3046" i="57"/>
  <c r="I3499" i="57" s="1"/>
  <c r="I2979" i="57"/>
  <c r="I3456" i="57" s="1"/>
  <c r="I2955" i="57"/>
  <c r="I3127" i="57" s="1"/>
  <c r="I3047" i="57"/>
  <c r="I3502" i="57" s="1"/>
  <c r="I2968" i="57"/>
  <c r="I3140" i="57" s="1"/>
  <c r="I3021" i="57"/>
  <c r="I3462" i="57" s="1"/>
  <c r="I3073" i="57"/>
  <c r="I3551" i="57" s="1"/>
  <c r="I3038" i="57"/>
  <c r="I3184" i="57" s="1"/>
  <c r="I3483" i="57" s="1"/>
  <c r="I3048" i="57"/>
  <c r="I3503" i="57" s="1"/>
  <c r="I2973" i="57"/>
  <c r="I3450" i="57" s="1"/>
  <c r="I3399" i="57"/>
  <c r="I3414" i="57" s="1"/>
  <c r="I3713" i="57" s="1"/>
  <c r="I2976" i="57"/>
  <c r="I3453" i="57" s="1"/>
  <c r="I2982" i="57"/>
  <c r="I2986" i="57"/>
  <c r="I2959" i="57"/>
  <c r="I3131" i="57" s="1"/>
  <c r="I3070" i="57"/>
  <c r="I3546" i="57" s="1"/>
  <c r="I2985" i="57"/>
  <c r="I2983" i="57"/>
  <c r="I3460" i="57" s="1"/>
  <c r="I2956" i="57"/>
  <c r="I3128" i="57" s="1"/>
  <c r="I2966" i="57"/>
  <c r="I3138" i="57" s="1"/>
  <c r="I3355" i="57" s="1"/>
  <c r="I3367" i="57" s="1"/>
  <c r="I3696" i="57" s="1"/>
  <c r="I3397" i="57"/>
  <c r="I3412" i="57" s="1"/>
  <c r="I3709" i="57" s="1"/>
  <c r="I2969" i="57"/>
  <c r="I3141" i="57" s="1"/>
  <c r="I3069" i="57"/>
  <c r="I3543" i="57" s="1"/>
  <c r="I2978" i="57"/>
  <c r="I3071" i="57"/>
  <c r="I3547" i="57" s="1"/>
  <c r="I2970" i="57"/>
  <c r="I3142" i="57" s="1"/>
  <c r="I3050" i="57"/>
  <c r="I3507" i="57" s="1"/>
  <c r="I2960" i="57"/>
  <c r="I3132" i="57" s="1"/>
  <c r="I3049" i="57"/>
  <c r="I3506" i="57" s="1"/>
  <c r="I2957" i="57"/>
  <c r="I3129" i="57" s="1"/>
  <c r="I2962" i="57"/>
  <c r="I3134" i="57" s="1"/>
  <c r="I2954" i="57"/>
  <c r="I3126" i="57" s="1"/>
  <c r="I2975" i="57"/>
  <c r="I3452" i="57" s="1"/>
  <c r="I3018" i="57"/>
  <c r="I3455" i="57" s="1"/>
  <c r="I3020" i="57"/>
  <c r="I3459" i="57" s="1"/>
  <c r="I2965" i="57"/>
  <c r="I3137" i="57" s="1"/>
  <c r="I3354" i="57" s="1"/>
  <c r="I3366" i="57" s="1"/>
  <c r="I3695" i="57" s="1"/>
  <c r="I3019" i="57"/>
  <c r="I3458" i="57" s="1"/>
  <c r="I2981" i="57"/>
  <c r="I3072" i="57"/>
  <c r="I3550" i="57" s="1"/>
  <c r="I2972" i="57"/>
  <c r="I3144" i="57" s="1"/>
  <c r="I3022" i="57"/>
  <c r="I3463" i="57" s="1"/>
  <c r="I2964" i="57"/>
  <c r="I3136" i="57" s="1"/>
  <c r="I3011" i="57"/>
  <c r="I3166" i="57" s="1"/>
  <c r="I3444" i="57" s="1"/>
  <c r="I3085" i="57"/>
  <c r="I3066" i="57"/>
  <c r="I3203" i="57" s="1"/>
  <c r="I3532" i="57" s="1"/>
  <c r="I3006" i="57"/>
  <c r="I3161" i="57" s="1"/>
  <c r="I3439" i="57" s="1"/>
  <c r="I3043" i="57"/>
  <c r="I3189" i="57" s="1"/>
  <c r="I3488" i="57" s="1"/>
  <c r="I3005" i="57"/>
  <c r="I3160" i="57" s="1"/>
  <c r="I3438" i="57" s="1"/>
  <c r="I3037" i="57"/>
  <c r="I3183" i="57" s="1"/>
  <c r="I3482" i="57" s="1"/>
  <c r="I3042" i="57"/>
  <c r="I3188" i="57" s="1"/>
  <c r="I3487" i="57" s="1"/>
  <c r="I3010" i="57"/>
  <c r="I3165" i="57" s="1"/>
  <c r="I3443" i="57" s="1"/>
  <c r="I3065" i="57"/>
  <c r="I3202" i="57" s="1"/>
  <c r="I3531" i="57" s="1"/>
  <c r="F3447" i="57"/>
  <c r="F3169" i="57"/>
  <c r="H3190" i="57"/>
  <c r="H3493" i="57"/>
  <c r="B3447" i="57"/>
  <c r="B3169" i="57"/>
  <c r="C3015" i="57"/>
  <c r="I3015" i="57"/>
  <c r="J3041" i="57"/>
  <c r="J3187" i="57" s="1"/>
  <c r="J3486" i="57" s="1"/>
  <c r="C3041" i="57"/>
  <c r="C3187" i="57" s="1"/>
  <c r="C3486" i="57" s="1"/>
  <c r="H3067" i="57"/>
  <c r="J3014" i="57"/>
  <c r="C3044" i="57"/>
  <c r="I3014" i="57"/>
  <c r="F3009" i="57"/>
  <c r="F3164" i="57" s="1"/>
  <c r="F3442" i="57" s="1"/>
  <c r="F2306" i="57"/>
  <c r="F2380" i="57" s="1"/>
  <c r="F2551" i="57" s="1"/>
  <c r="E3044" i="57"/>
  <c r="G2266" i="57"/>
  <c r="G2371" i="57" s="1"/>
  <c r="G2542" i="57" s="1"/>
  <c r="C1916" i="57"/>
  <c r="C2193" i="57" s="1"/>
  <c r="C1940" i="57"/>
  <c r="C2222" i="57" s="1"/>
  <c r="C1959" i="57"/>
  <c r="C2242" i="57" s="1"/>
  <c r="D1855" i="57"/>
  <c r="D1883" i="57" s="1"/>
  <c r="C1845" i="57"/>
  <c r="C1882" i="57" s="1"/>
  <c r="E1835" i="57"/>
  <c r="E1881" i="57" s="1"/>
  <c r="E1855" i="57"/>
  <c r="E1883" i="57" s="1"/>
  <c r="D1845" i="57"/>
  <c r="D1882" i="57" s="1"/>
  <c r="C1835" i="57"/>
  <c r="C1881" i="57" s="1"/>
  <c r="D1866" i="57"/>
  <c r="D1888" i="57" s="1"/>
  <c r="C1866" i="57"/>
  <c r="C1888" i="57" s="1"/>
  <c r="D1835" i="57"/>
  <c r="D1881" i="57" s="1"/>
  <c r="E1845" i="57"/>
  <c r="E1882" i="57" s="1"/>
  <c r="E1866" i="57"/>
  <c r="E1888" i="57" s="1"/>
  <c r="C1855" i="57"/>
  <c r="C1883" i="57" s="1"/>
  <c r="J1910" i="57"/>
  <c r="J2187" i="57" s="1"/>
  <c r="J1935" i="57"/>
  <c r="J2217" i="57" s="1"/>
  <c r="B3000" i="57"/>
  <c r="B3155" i="57" s="1"/>
  <c r="B3433" i="57" s="1"/>
  <c r="B1915" i="57"/>
  <c r="B2192" i="57" s="1"/>
  <c r="B1939" i="57"/>
  <c r="B2221" i="57" s="1"/>
  <c r="B1958" i="57"/>
  <c r="B2241" i="57" s="1"/>
  <c r="B2998" i="57"/>
  <c r="B3153" i="57" s="1"/>
  <c r="B3431" i="57" s="1"/>
  <c r="B2265" i="57"/>
  <c r="B2369" i="57" s="1"/>
  <c r="G2268" i="57"/>
  <c r="G2374" i="57" s="1"/>
  <c r="G2545" i="57" s="1"/>
  <c r="E1934" i="57"/>
  <c r="E2216" i="57" s="1"/>
  <c r="E1907" i="57"/>
  <c r="E2184" i="57" s="1"/>
  <c r="C1939" i="57"/>
  <c r="C2221" i="57" s="1"/>
  <c r="C1958" i="57"/>
  <c r="C2241" i="57" s="1"/>
  <c r="C1915" i="57"/>
  <c r="C2192" i="57" s="1"/>
  <c r="G1915" i="57"/>
  <c r="G2192" i="57" s="1"/>
  <c r="G1958" i="57"/>
  <c r="G2241" i="57" s="1"/>
  <c r="G1939" i="57"/>
  <c r="G2221" i="57" s="1"/>
  <c r="B157" i="38"/>
  <c r="E157" i="35"/>
  <c r="E157" i="37"/>
  <c r="E157" i="36"/>
  <c r="B157" i="35"/>
  <c r="B157" i="37"/>
  <c r="B157" i="36"/>
  <c r="E157" i="38"/>
  <c r="E157" i="34"/>
  <c r="B157" i="34"/>
  <c r="B117" i="41"/>
  <c r="AK1854" i="57"/>
  <c r="AK1880" i="57" s="1"/>
  <c r="AK1844" i="57"/>
  <c r="AK1879" i="57" s="1"/>
  <c r="AJ1834" i="57"/>
  <c r="AJ1878" i="57" s="1"/>
  <c r="AK1865" i="57"/>
  <c r="AK1887" i="57" s="1"/>
  <c r="AI1844" i="57"/>
  <c r="AI1879" i="57" s="1"/>
  <c r="AJ1854" i="57"/>
  <c r="AJ1880" i="57" s="1"/>
  <c r="AK1834" i="57"/>
  <c r="AK1878" i="57" s="1"/>
  <c r="AJ1865" i="57"/>
  <c r="AJ1887" i="57" s="1"/>
  <c r="AI1854" i="57"/>
  <c r="AI1880" i="57" s="1"/>
  <c r="AJ1844" i="57"/>
  <c r="AJ1879" i="57" s="1"/>
  <c r="AI1834" i="57"/>
  <c r="AI1878" i="57" s="1"/>
  <c r="AI1865" i="57"/>
  <c r="AI1887" i="57" s="1"/>
  <c r="E1959" i="57"/>
  <c r="E2242" i="57" s="1"/>
  <c r="F1907" i="57"/>
  <c r="F2184" i="57" s="1"/>
  <c r="F1934" i="57"/>
  <c r="F2216" i="57" s="1"/>
  <c r="F1958" i="57"/>
  <c r="F2241" i="57" s="1"/>
  <c r="F1915" i="57"/>
  <c r="F2192" i="57" s="1"/>
  <c r="F1939" i="57"/>
  <c r="F2221" i="57" s="1"/>
  <c r="D1939" i="57"/>
  <c r="D2221" i="57" s="1"/>
  <c r="D1958" i="57"/>
  <c r="D2241" i="57" s="1"/>
  <c r="D1915" i="57"/>
  <c r="D2192" i="57" s="1"/>
  <c r="H1907" i="57"/>
  <c r="H2184" i="57" s="1"/>
  <c r="H1934" i="57"/>
  <c r="H2216" i="57" s="1"/>
  <c r="B1907" i="57"/>
  <c r="B2184" i="57" s="1"/>
  <c r="B1934" i="57"/>
  <c r="B2216" i="57" s="1"/>
  <c r="G1940" i="57"/>
  <c r="G2222" i="57" s="1"/>
  <c r="E1939" i="57"/>
  <c r="E2221" i="57" s="1"/>
  <c r="E1958" i="57"/>
  <c r="E2241" i="57" s="1"/>
  <c r="E1915" i="57"/>
  <c r="E2192" i="57" s="1"/>
  <c r="I1934" i="57"/>
  <c r="I2216" i="57" s="1"/>
  <c r="I1907" i="57"/>
  <c r="I2184" i="57" s="1"/>
  <c r="C1934" i="57"/>
  <c r="C2216" i="57" s="1"/>
  <c r="C1907" i="57"/>
  <c r="C2184" i="57" s="1"/>
  <c r="G2267" i="57"/>
  <c r="G2372" i="57" s="1"/>
  <c r="G2543" i="57" s="1"/>
  <c r="I75" i="35"/>
  <c r="I68" i="35"/>
  <c r="I79" i="35"/>
  <c r="I85" i="35"/>
  <c r="I74" i="35"/>
  <c r="I87" i="35"/>
  <c r="I72" i="35"/>
  <c r="I86" i="35"/>
  <c r="I76" i="35"/>
  <c r="I81" i="35"/>
  <c r="I70" i="35"/>
  <c r="I83" i="35"/>
  <c r="I71" i="35"/>
  <c r="I84" i="35"/>
  <c r="I73" i="35"/>
  <c r="I78" i="35"/>
  <c r="I69" i="35"/>
  <c r="I82" i="35"/>
  <c r="I94" i="35"/>
  <c r="I77" i="35"/>
  <c r="I80" i="35"/>
  <c r="E2265" i="57"/>
  <c r="E2369" i="57" s="1"/>
  <c r="E2998" i="57"/>
  <c r="E3153" i="57" s="1"/>
  <c r="E3431" i="57" s="1"/>
  <c r="I3000" i="57"/>
  <c r="I3155" i="57" s="1"/>
  <c r="I3433" i="57" s="1"/>
  <c r="I2266" i="57"/>
  <c r="I2371" i="57" s="1"/>
  <c r="I2542" i="57" s="1"/>
  <c r="I1935" i="57"/>
  <c r="I2217" i="57" s="1"/>
  <c r="I1910" i="57"/>
  <c r="I2187" i="57" s="1"/>
  <c r="E2267" i="57"/>
  <c r="E2372" i="57" s="1"/>
  <c r="E2543" i="57" s="1"/>
  <c r="E3001" i="57"/>
  <c r="E3156" i="57" s="1"/>
  <c r="E3434" i="57" s="1"/>
  <c r="G1907" i="57"/>
  <c r="G2184" i="57" s="1"/>
  <c r="G1934" i="57"/>
  <c r="G2216" i="57" s="1"/>
  <c r="H1915" i="57"/>
  <c r="H2192" i="57" s="1"/>
  <c r="H1958" i="57"/>
  <c r="H2241" i="57" s="1"/>
  <c r="H1939" i="57"/>
  <c r="H2221" i="57" s="1"/>
  <c r="H2265" i="57"/>
  <c r="H2369" i="57" s="1"/>
  <c r="H2998" i="57"/>
  <c r="H3153" i="57" s="1"/>
  <c r="H3431" i="57" s="1"/>
  <c r="J1916" i="57"/>
  <c r="J2193" i="57" s="1"/>
  <c r="J1959" i="57"/>
  <c r="J2242" i="57" s="1"/>
  <c r="J1940" i="57"/>
  <c r="J2222" i="57" s="1"/>
  <c r="G1910" i="57"/>
  <c r="G2187" i="57" s="1"/>
  <c r="G1935" i="57"/>
  <c r="G2217" i="57" s="1"/>
  <c r="C1910" i="57"/>
  <c r="C2187" i="57" s="1"/>
  <c r="C1935" i="57"/>
  <c r="C2217" i="57" s="1"/>
  <c r="I1939" i="57"/>
  <c r="I2221" i="57" s="1"/>
  <c r="I1958" i="57"/>
  <c r="I2241" i="57" s="1"/>
  <c r="I1915" i="57"/>
  <c r="I2192" i="57" s="1"/>
  <c r="D1916" i="57"/>
  <c r="D2193" i="57" s="1"/>
  <c r="D1934" i="57"/>
  <c r="D2216" i="57" s="1"/>
  <c r="D1907" i="57"/>
  <c r="D2184" i="57" s="1"/>
  <c r="C1909" i="57" l="1"/>
  <c r="C2186" i="57" s="1"/>
  <c r="G1906" i="57"/>
  <c r="G2183" i="57" s="1"/>
  <c r="G2265" i="57" s="1"/>
  <c r="G2369" i="57" s="1"/>
  <c r="G2540" i="57" s="1"/>
  <c r="AC1866" i="57"/>
  <c r="AC1888" i="57" s="1"/>
  <c r="AB1845" i="57"/>
  <c r="AB1882" i="57" s="1"/>
  <c r="AC1855" i="57"/>
  <c r="AC1883" i="57" s="1"/>
  <c r="D1959" i="57"/>
  <c r="D2242" i="57" s="1"/>
  <c r="I1940" i="57"/>
  <c r="I2222" i="57" s="1"/>
  <c r="C1911" i="57"/>
  <c r="C2188" i="57" s="1"/>
  <c r="C3003" i="57" s="1"/>
  <c r="C3158" i="57" s="1"/>
  <c r="C3436" i="57" s="1"/>
  <c r="G1959" i="57"/>
  <c r="G2242" i="57" s="1"/>
  <c r="J1906" i="57"/>
  <c r="J2183" i="57" s="1"/>
  <c r="AB1835" i="57"/>
  <c r="AB1881" i="57" s="1"/>
  <c r="AA1855" i="57"/>
  <c r="AA1883" i="57" s="1"/>
  <c r="AA1845" i="57"/>
  <c r="AA1882" i="57" s="1"/>
  <c r="AC1845" i="57"/>
  <c r="AC1882" i="57" s="1"/>
  <c r="AA1866" i="57"/>
  <c r="AA1888" i="57" s="1"/>
  <c r="H1940" i="57" s="1"/>
  <c r="H2222" i="57" s="1"/>
  <c r="C2267" i="57"/>
  <c r="C2372" i="57" s="1"/>
  <c r="C2543" i="57" s="1"/>
  <c r="C3001" i="57"/>
  <c r="C3156" i="57" s="1"/>
  <c r="C3434" i="57" s="1"/>
  <c r="D1935" i="57"/>
  <c r="D2217" i="57" s="1"/>
  <c r="D1940" i="57"/>
  <c r="D2222" i="57" s="1"/>
  <c r="E1910" i="57"/>
  <c r="E2187" i="57" s="1"/>
  <c r="H2266" i="57"/>
  <c r="H2371" i="57" s="1"/>
  <c r="H2542" i="57" s="1"/>
  <c r="H1910" i="57"/>
  <c r="H2187" i="57" s="1"/>
  <c r="E1940" i="57"/>
  <c r="E2222" i="57" s="1"/>
  <c r="I1916" i="57"/>
  <c r="I2193" i="57" s="1"/>
  <c r="G1916" i="57"/>
  <c r="G2193" i="57" s="1"/>
  <c r="I2998" i="57"/>
  <c r="I3153" i="57" s="1"/>
  <c r="I3431" i="57" s="1"/>
  <c r="I1959" i="57"/>
  <c r="I2242" i="57" s="1"/>
  <c r="F3449" i="57"/>
  <c r="C1908" i="57"/>
  <c r="C2185" i="57" s="1"/>
  <c r="J1911" i="57"/>
  <c r="J2188" i="57" s="1"/>
  <c r="J1908" i="57"/>
  <c r="J2185" i="57" s="1"/>
  <c r="B1909" i="57"/>
  <c r="B2186" i="57" s="1"/>
  <c r="F1906" i="57"/>
  <c r="F2183" i="57" s="1"/>
  <c r="J3169" i="57"/>
  <c r="J3447" i="57"/>
  <c r="I3448" i="57"/>
  <c r="I3170" i="57"/>
  <c r="I3105" i="57"/>
  <c r="I3328" i="57" s="1"/>
  <c r="I3569" i="57" s="1"/>
  <c r="I3113" i="57"/>
  <c r="I3234" i="57"/>
  <c r="I3102" i="57"/>
  <c r="I3326" i="57" s="1"/>
  <c r="I3566" i="57" s="1"/>
  <c r="I3109" i="57"/>
  <c r="I3332" i="57" s="1"/>
  <c r="I3573" i="57" s="1"/>
  <c r="I3228" i="57"/>
  <c r="I3655" i="57" s="1"/>
  <c r="I3099" i="57"/>
  <c r="I3324" i="57" s="1"/>
  <c r="I3563" i="57" s="1"/>
  <c r="I3222" i="57"/>
  <c r="I3230" i="57"/>
  <c r="I3117" i="57"/>
  <c r="I3219" i="57"/>
  <c r="I3224" i="57"/>
  <c r="I3226" i="57"/>
  <c r="I3216" i="57"/>
  <c r="I3110" i="57"/>
  <c r="I3614" i="57" s="1"/>
  <c r="I3221" i="57"/>
  <c r="I3101" i="57"/>
  <c r="I3107" i="57"/>
  <c r="I3330" i="57" s="1"/>
  <c r="I3571" i="57" s="1"/>
  <c r="I3227" i="57"/>
  <c r="I3654" i="57" s="1"/>
  <c r="I3104" i="57"/>
  <c r="I3218" i="57"/>
  <c r="I3111" i="57"/>
  <c r="I3615" i="57" s="1"/>
  <c r="I3112" i="57"/>
  <c r="I3616" i="57" s="1"/>
  <c r="I3220" i="57"/>
  <c r="I3232" i="57"/>
  <c r="I3114" i="57"/>
  <c r="I3217" i="57"/>
  <c r="I3233" i="57"/>
  <c r="I3108" i="57"/>
  <c r="I3331" i="57" s="1"/>
  <c r="I3572" i="57" s="1"/>
  <c r="I3106" i="57"/>
  <c r="I3329" i="57" s="1"/>
  <c r="I3570" i="57" s="1"/>
  <c r="I3100" i="57"/>
  <c r="I3325" i="57" s="1"/>
  <c r="I3564" i="57" s="1"/>
  <c r="I3103" i="57"/>
  <c r="I3327" i="57" s="1"/>
  <c r="I3567" i="57" s="1"/>
  <c r="I3229" i="57"/>
  <c r="I3656" i="57" s="1"/>
  <c r="I3231" i="57"/>
  <c r="I3116" i="57"/>
  <c r="I3223" i="57"/>
  <c r="I3225" i="57"/>
  <c r="I3115" i="57"/>
  <c r="J3446" i="57"/>
  <c r="J3168" i="57"/>
  <c r="E3000" i="57"/>
  <c r="E3155" i="57" s="1"/>
  <c r="E3433" i="57" s="1"/>
  <c r="E2268" i="57"/>
  <c r="E2374" i="57" s="1"/>
  <c r="E2545" i="57" s="1"/>
  <c r="C2268" i="57"/>
  <c r="C2374" i="57" s="1"/>
  <c r="C2545" i="57" s="1"/>
  <c r="I3169" i="57"/>
  <c r="I3447" i="57"/>
  <c r="G3449" i="57"/>
  <c r="G3171" i="57"/>
  <c r="H3449" i="57"/>
  <c r="H3171" i="57"/>
  <c r="H3112" i="57"/>
  <c r="H3616" i="57" s="1"/>
  <c r="H3114" i="57"/>
  <c r="H3217" i="57"/>
  <c r="H3103" i="57"/>
  <c r="H3327" i="57" s="1"/>
  <c r="H3567" i="57" s="1"/>
  <c r="H3221" i="57"/>
  <c r="H3100" i="57"/>
  <c r="H3325" i="57" s="1"/>
  <c r="H3564" i="57" s="1"/>
  <c r="H3105" i="57"/>
  <c r="H3328" i="57" s="1"/>
  <c r="H3569" i="57" s="1"/>
  <c r="H3216" i="57"/>
  <c r="H3116" i="57"/>
  <c r="H3223" i="57"/>
  <c r="H3224" i="57"/>
  <c r="H3220" i="57"/>
  <c r="H3218" i="57"/>
  <c r="H3232" i="57"/>
  <c r="H3234" i="57"/>
  <c r="H3226" i="57"/>
  <c r="H3107" i="57"/>
  <c r="H3330" i="57" s="1"/>
  <c r="H3571" i="57" s="1"/>
  <c r="H3229" i="57"/>
  <c r="H3656" i="57" s="1"/>
  <c r="H3101" i="57"/>
  <c r="H3219" i="57"/>
  <c r="H3104" i="57"/>
  <c r="H3231" i="57"/>
  <c r="H3233" i="57"/>
  <c r="H3099" i="57"/>
  <c r="H3324" i="57" s="1"/>
  <c r="H3563" i="57" s="1"/>
  <c r="H3113" i="57"/>
  <c r="H3108" i="57"/>
  <c r="H3331" i="57" s="1"/>
  <c r="H3572" i="57" s="1"/>
  <c r="H3117" i="57"/>
  <c r="H3228" i="57"/>
  <c r="H3655" i="57" s="1"/>
  <c r="H3115" i="57"/>
  <c r="H3222" i="57"/>
  <c r="H3106" i="57"/>
  <c r="H3329" i="57" s="1"/>
  <c r="H3570" i="57" s="1"/>
  <c r="H3225" i="57"/>
  <c r="H3111" i="57"/>
  <c r="H3615" i="57" s="1"/>
  <c r="H3230" i="57"/>
  <c r="H3102" i="57"/>
  <c r="H3326" i="57" s="1"/>
  <c r="H3566" i="57" s="1"/>
  <c r="H3110" i="57"/>
  <c r="H3614" i="57" s="1"/>
  <c r="H3109" i="57"/>
  <c r="H3332" i="57" s="1"/>
  <c r="H3573" i="57" s="1"/>
  <c r="H3227" i="57"/>
  <c r="H3654" i="57" s="1"/>
  <c r="G3169" i="57"/>
  <c r="G3447" i="57"/>
  <c r="I3449" i="57"/>
  <c r="I3171" i="57"/>
  <c r="F3107" i="57"/>
  <c r="F3330" i="57" s="1"/>
  <c r="F3571" i="57" s="1"/>
  <c r="F3232" i="57"/>
  <c r="F3220" i="57"/>
  <c r="F3116" i="57"/>
  <c r="F3229" i="57"/>
  <c r="F3656" i="57" s="1"/>
  <c r="F3217" i="57"/>
  <c r="F3110" i="57"/>
  <c r="F3614" i="57" s="1"/>
  <c r="F3106" i="57"/>
  <c r="F3329" i="57" s="1"/>
  <c r="F3570" i="57" s="1"/>
  <c r="F3233" i="57"/>
  <c r="F3224" i="57"/>
  <c r="F3099" i="57"/>
  <c r="F3324" i="57" s="1"/>
  <c r="F3563" i="57" s="1"/>
  <c r="F3114" i="57"/>
  <c r="F3113" i="57"/>
  <c r="F3216" i="57"/>
  <c r="F3115" i="57"/>
  <c r="F3234" i="57"/>
  <c r="F3230" i="57"/>
  <c r="F3228" i="57"/>
  <c r="F3655" i="57" s="1"/>
  <c r="F3222" i="57"/>
  <c r="F3219" i="57"/>
  <c r="F3112" i="57"/>
  <c r="F3616" i="57" s="1"/>
  <c r="F3111" i="57"/>
  <c r="F3615" i="57" s="1"/>
  <c r="F3108" i="57"/>
  <c r="F3331" i="57" s="1"/>
  <c r="F3572" i="57" s="1"/>
  <c r="F3227" i="57"/>
  <c r="F3654" i="57" s="1"/>
  <c r="F3100" i="57"/>
  <c r="F3325" i="57" s="1"/>
  <c r="F3564" i="57" s="1"/>
  <c r="F3103" i="57"/>
  <c r="F3327" i="57" s="1"/>
  <c r="F3567" i="57" s="1"/>
  <c r="F3105" i="57"/>
  <c r="F3328" i="57" s="1"/>
  <c r="F3569" i="57" s="1"/>
  <c r="F3104" i="57"/>
  <c r="F3117" i="57"/>
  <c r="F3226" i="57"/>
  <c r="F3225" i="57"/>
  <c r="F3218" i="57"/>
  <c r="F3231" i="57"/>
  <c r="F3102" i="57"/>
  <c r="F3326" i="57" s="1"/>
  <c r="F3566" i="57" s="1"/>
  <c r="F3109" i="57"/>
  <c r="F3332" i="57" s="1"/>
  <c r="F3573" i="57" s="1"/>
  <c r="F3223" i="57"/>
  <c r="F3221" i="57"/>
  <c r="F3101" i="57"/>
  <c r="E3167" i="57"/>
  <c r="E3445" i="57"/>
  <c r="C1906" i="57"/>
  <c r="C2183" i="57" s="1"/>
  <c r="I1911" i="57"/>
  <c r="I2188" i="57" s="1"/>
  <c r="F1908" i="57"/>
  <c r="F2185" i="57" s="1"/>
  <c r="E3537" i="57"/>
  <c r="E3204" i="57"/>
  <c r="H1911" i="57"/>
  <c r="H2188" i="57" s="1"/>
  <c r="D1906" i="57"/>
  <c r="D2183" i="57" s="1"/>
  <c r="I1909" i="57"/>
  <c r="I2186" i="57" s="1"/>
  <c r="G3190" i="57"/>
  <c r="G3493" i="57"/>
  <c r="E3447" i="57"/>
  <c r="E3169" i="57"/>
  <c r="G3537" i="57"/>
  <c r="G3204" i="57"/>
  <c r="E3109" i="57"/>
  <c r="E3332" i="57" s="1"/>
  <c r="E3573" i="57" s="1"/>
  <c r="E3108" i="57"/>
  <c r="E3331" i="57" s="1"/>
  <c r="E3572" i="57" s="1"/>
  <c r="E3220" i="57"/>
  <c r="E3112" i="57"/>
  <c r="E3616" i="57" s="1"/>
  <c r="E3216" i="57"/>
  <c r="E3101" i="57"/>
  <c r="E3218" i="57"/>
  <c r="E3228" i="57"/>
  <c r="E3655" i="57" s="1"/>
  <c r="E3227" i="57"/>
  <c r="E3654" i="57" s="1"/>
  <c r="E3219" i="57"/>
  <c r="E3234" i="57"/>
  <c r="E3224" i="57"/>
  <c r="E3107" i="57"/>
  <c r="E3330" i="57" s="1"/>
  <c r="E3571" i="57" s="1"/>
  <c r="E3229" i="57"/>
  <c r="E3656" i="57" s="1"/>
  <c r="E3110" i="57"/>
  <c r="E3614" i="57" s="1"/>
  <c r="E3116" i="57"/>
  <c r="E3100" i="57"/>
  <c r="E3325" i="57" s="1"/>
  <c r="E3564" i="57" s="1"/>
  <c r="E3221" i="57"/>
  <c r="E3099" i="57"/>
  <c r="E3324" i="57" s="1"/>
  <c r="E3563" i="57" s="1"/>
  <c r="E3111" i="57"/>
  <c r="E3615" i="57" s="1"/>
  <c r="E3233" i="57"/>
  <c r="E3105" i="57"/>
  <c r="E3328" i="57" s="1"/>
  <c r="E3569" i="57" s="1"/>
  <c r="E3106" i="57"/>
  <c r="E3329" i="57" s="1"/>
  <c r="E3570" i="57" s="1"/>
  <c r="E3222" i="57"/>
  <c r="E3113" i="57"/>
  <c r="E3102" i="57"/>
  <c r="E3326" i="57" s="1"/>
  <c r="E3566" i="57" s="1"/>
  <c r="E3104" i="57"/>
  <c r="E3223" i="57"/>
  <c r="E3232" i="57"/>
  <c r="E3114" i="57"/>
  <c r="E3231" i="57"/>
  <c r="E3115" i="57"/>
  <c r="E3217" i="57"/>
  <c r="E3117" i="57"/>
  <c r="E3226" i="57"/>
  <c r="E3225" i="57"/>
  <c r="E3103" i="57"/>
  <c r="E3327" i="57" s="1"/>
  <c r="E3567" i="57" s="1"/>
  <c r="E3230" i="57"/>
  <c r="D1908" i="57"/>
  <c r="D2185" i="57" s="1"/>
  <c r="D1909" i="57"/>
  <c r="D2186" i="57" s="1"/>
  <c r="J1909" i="57"/>
  <c r="J2186" i="57" s="1"/>
  <c r="E3493" i="57"/>
  <c r="E3190" i="57"/>
  <c r="C3190" i="57"/>
  <c r="C3493" i="57"/>
  <c r="G3448" i="57"/>
  <c r="G3170" i="57"/>
  <c r="F3448" i="57"/>
  <c r="F3170" i="57"/>
  <c r="C3102" i="57"/>
  <c r="C3326" i="57" s="1"/>
  <c r="C3566" i="57" s="1"/>
  <c r="C3219" i="57"/>
  <c r="C3230" i="57"/>
  <c r="C3231" i="57"/>
  <c r="C3232" i="57"/>
  <c r="C3116" i="57"/>
  <c r="C3107" i="57"/>
  <c r="C3330" i="57" s="1"/>
  <c r="C3571" i="57" s="1"/>
  <c r="C3113" i="57"/>
  <c r="C3117" i="57"/>
  <c r="C3115" i="57"/>
  <c r="C3222" i="57"/>
  <c r="C3100" i="57"/>
  <c r="C3325" i="57" s="1"/>
  <c r="C3564" i="57" s="1"/>
  <c r="C3104" i="57"/>
  <c r="C3229" i="57"/>
  <c r="C3656" i="57" s="1"/>
  <c r="C3220" i="57"/>
  <c r="C3217" i="57"/>
  <c r="C3225" i="57"/>
  <c r="C3216" i="57"/>
  <c r="C3099" i="57"/>
  <c r="C3324" i="57" s="1"/>
  <c r="C3563" i="57" s="1"/>
  <c r="C3226" i="57"/>
  <c r="C3224" i="57"/>
  <c r="C3223" i="57"/>
  <c r="C3227" i="57"/>
  <c r="C3654" i="57" s="1"/>
  <c r="C3228" i="57"/>
  <c r="C3655" i="57" s="1"/>
  <c r="C3112" i="57"/>
  <c r="C3616" i="57" s="1"/>
  <c r="C3105" i="57"/>
  <c r="C3328" i="57" s="1"/>
  <c r="C3569" i="57" s="1"/>
  <c r="C3111" i="57"/>
  <c r="C3615" i="57" s="1"/>
  <c r="C3218" i="57"/>
  <c r="C3233" i="57"/>
  <c r="C3114" i="57"/>
  <c r="C3106" i="57"/>
  <c r="C3329" i="57" s="1"/>
  <c r="C3570" i="57" s="1"/>
  <c r="C3108" i="57"/>
  <c r="C3331" i="57" s="1"/>
  <c r="C3572" i="57" s="1"/>
  <c r="C3234" i="57"/>
  <c r="C3109" i="57"/>
  <c r="C3332" i="57" s="1"/>
  <c r="C3573" i="57" s="1"/>
  <c r="C3221" i="57"/>
  <c r="C3103" i="57"/>
  <c r="C3327" i="57" s="1"/>
  <c r="C3567" i="57" s="1"/>
  <c r="C3110" i="57"/>
  <c r="C3614" i="57" s="1"/>
  <c r="C3101" i="57"/>
  <c r="G3220" i="57"/>
  <c r="G3107" i="57"/>
  <c r="G3330" i="57" s="1"/>
  <c r="G3571" i="57" s="1"/>
  <c r="G3100" i="57"/>
  <c r="G3325" i="57" s="1"/>
  <c r="G3564" i="57" s="1"/>
  <c r="G3112" i="57"/>
  <c r="G3616" i="57" s="1"/>
  <c r="G3114" i="57"/>
  <c r="G3111" i="57"/>
  <c r="G3615" i="57" s="1"/>
  <c r="G3231" i="57"/>
  <c r="G3228" i="57"/>
  <c r="G3655" i="57" s="1"/>
  <c r="G3224" i="57"/>
  <c r="G3229" i="57"/>
  <c r="G3656" i="57" s="1"/>
  <c r="G3217" i="57"/>
  <c r="G3234" i="57"/>
  <c r="G3115" i="57"/>
  <c r="G3102" i="57"/>
  <c r="G3326" i="57" s="1"/>
  <c r="G3566" i="57" s="1"/>
  <c r="G3099" i="57"/>
  <c r="G3324" i="57" s="1"/>
  <c r="G3563" i="57" s="1"/>
  <c r="G3105" i="57"/>
  <c r="G3328" i="57" s="1"/>
  <c r="G3569" i="57" s="1"/>
  <c r="G3219" i="57"/>
  <c r="G3218" i="57"/>
  <c r="G3109" i="57"/>
  <c r="G3332" i="57" s="1"/>
  <c r="G3573" i="57" s="1"/>
  <c r="G3116" i="57"/>
  <c r="G3226" i="57"/>
  <c r="G3225" i="57"/>
  <c r="G3110" i="57"/>
  <c r="G3614" i="57" s="1"/>
  <c r="G3104" i="57"/>
  <c r="G3108" i="57"/>
  <c r="G3331" i="57" s="1"/>
  <c r="G3572" i="57" s="1"/>
  <c r="G3223" i="57"/>
  <c r="G3230" i="57"/>
  <c r="G3103" i="57"/>
  <c r="G3327" i="57" s="1"/>
  <c r="G3567" i="57" s="1"/>
  <c r="G3113" i="57"/>
  <c r="G3101" i="57"/>
  <c r="G3227" i="57"/>
  <c r="G3654" i="57" s="1"/>
  <c r="G3222" i="57"/>
  <c r="G3117" i="57"/>
  <c r="G3232" i="57"/>
  <c r="G3106" i="57"/>
  <c r="G3329" i="57" s="1"/>
  <c r="G3570" i="57" s="1"/>
  <c r="G3233" i="57"/>
  <c r="G3221" i="57"/>
  <c r="G3216" i="57"/>
  <c r="E3449" i="57"/>
  <c r="E3171" i="57"/>
  <c r="T1855" i="57"/>
  <c r="T1883" i="57" s="1"/>
  <c r="T1866" i="57"/>
  <c r="T1888" i="57" s="1"/>
  <c r="U1845" i="57"/>
  <c r="U1882" i="57" s="1"/>
  <c r="S1866" i="57"/>
  <c r="S1888" i="57" s="1"/>
  <c r="S1845" i="57"/>
  <c r="S1882" i="57" s="1"/>
  <c r="T1835" i="57"/>
  <c r="T1881" i="57" s="1"/>
  <c r="T1845" i="57"/>
  <c r="T1882" i="57" s="1"/>
  <c r="U1835" i="57"/>
  <c r="U1881" i="57" s="1"/>
  <c r="S1835" i="57"/>
  <c r="S1881" i="57" s="1"/>
  <c r="S1855" i="57"/>
  <c r="S1883" i="57" s="1"/>
  <c r="U1855" i="57"/>
  <c r="U1883" i="57" s="1"/>
  <c r="U1866" i="57"/>
  <c r="U1888" i="57" s="1"/>
  <c r="G3446" i="57"/>
  <c r="G3168" i="57"/>
  <c r="F3445" i="57"/>
  <c r="F3167" i="57"/>
  <c r="B1911" i="57"/>
  <c r="B2188" i="57" s="1"/>
  <c r="H3537" i="57"/>
  <c r="H3204" i="57"/>
  <c r="C3448" i="57"/>
  <c r="C3170" i="57"/>
  <c r="E3446" i="57"/>
  <c r="E3168" i="57"/>
  <c r="E3448" i="57"/>
  <c r="E3170" i="57"/>
  <c r="H1909" i="57"/>
  <c r="H2186" i="57" s="1"/>
  <c r="D1911" i="57"/>
  <c r="D2188" i="57" s="1"/>
  <c r="D3063" i="57"/>
  <c r="D3200" i="57" s="1"/>
  <c r="D3529" i="57" s="1"/>
  <c r="I3062" i="57"/>
  <c r="I3199" i="57" s="1"/>
  <c r="I3528" i="57" s="1"/>
  <c r="G2286" i="57"/>
  <c r="G2373" i="57" s="1"/>
  <c r="G2544" i="57" s="1"/>
  <c r="G3002" i="57"/>
  <c r="G3157" i="57" s="1"/>
  <c r="G3435" i="57" s="1"/>
  <c r="J3040" i="57"/>
  <c r="J3186" i="57" s="1"/>
  <c r="J3485" i="57" s="1"/>
  <c r="H3062" i="57"/>
  <c r="H3199" i="57" s="1"/>
  <c r="H3528" i="57" s="1"/>
  <c r="E2540" i="57"/>
  <c r="E2286" i="57"/>
  <c r="E2373" i="57" s="1"/>
  <c r="E2544" i="57" s="1"/>
  <c r="E3002" i="57"/>
  <c r="E3157" i="57" s="1"/>
  <c r="E3435" i="57" s="1"/>
  <c r="I2999" i="57"/>
  <c r="I3154" i="57" s="1"/>
  <c r="I3432" i="57" s="1"/>
  <c r="I2285" i="57"/>
  <c r="I2370" i="57" s="1"/>
  <c r="I2541" i="57" s="1"/>
  <c r="E3062" i="57"/>
  <c r="E3199" i="57" s="1"/>
  <c r="E3528" i="57" s="1"/>
  <c r="G3063" i="57"/>
  <c r="G3200" i="57" s="1"/>
  <c r="G3529" i="57" s="1"/>
  <c r="F3039" i="57"/>
  <c r="F3185" i="57" s="1"/>
  <c r="F3484" i="57" s="1"/>
  <c r="F2999" i="57"/>
  <c r="F3154" i="57" s="1"/>
  <c r="F3432" i="57" s="1"/>
  <c r="F2285" i="57"/>
  <c r="F2370" i="57" s="1"/>
  <c r="F2541" i="57" s="1"/>
  <c r="J3000" i="57"/>
  <c r="J3155" i="57" s="1"/>
  <c r="J3433" i="57" s="1"/>
  <c r="J2266" i="57"/>
  <c r="J2371" i="57" s="1"/>
  <c r="J2542" i="57" s="1"/>
  <c r="J1907" i="57"/>
  <c r="J2184" i="57" s="1"/>
  <c r="J1934" i="57"/>
  <c r="J2216" i="57" s="1"/>
  <c r="G3039" i="57"/>
  <c r="G3185" i="57" s="1"/>
  <c r="G3484" i="57" s="1"/>
  <c r="C2304" i="57"/>
  <c r="C2378" i="57" s="1"/>
  <c r="C2549" i="57" s="1"/>
  <c r="C3007" i="57"/>
  <c r="C3162" i="57" s="1"/>
  <c r="C3440" i="57" s="1"/>
  <c r="I3063" i="57"/>
  <c r="I3200" i="57" s="1"/>
  <c r="I3529" i="57" s="1"/>
  <c r="B2267" i="57"/>
  <c r="B2372" i="57" s="1"/>
  <c r="B2543" i="57" s="1"/>
  <c r="B3001" i="57"/>
  <c r="B3156" i="57" s="1"/>
  <c r="B3434" i="57" s="1"/>
  <c r="B1910" i="57"/>
  <c r="B2187" i="57" s="1"/>
  <c r="B1935" i="57"/>
  <c r="B2217" i="57" s="1"/>
  <c r="C3063" i="57"/>
  <c r="C3200" i="57" s="1"/>
  <c r="C3529" i="57" s="1"/>
  <c r="D3008" i="57"/>
  <c r="D3163" i="57" s="1"/>
  <c r="D3441" i="57" s="1"/>
  <c r="D2305" i="57"/>
  <c r="D2379" i="57" s="1"/>
  <c r="D2550" i="57" s="1"/>
  <c r="I3039" i="57"/>
  <c r="I3185" i="57" s="1"/>
  <c r="I3484" i="57" s="1"/>
  <c r="J3063" i="57"/>
  <c r="J3200" i="57" s="1"/>
  <c r="J3529" i="57" s="1"/>
  <c r="H2304" i="57"/>
  <c r="H2378" i="57" s="1"/>
  <c r="H2549" i="57" s="1"/>
  <c r="H3007" i="57"/>
  <c r="H3162" i="57" s="1"/>
  <c r="H3440" i="57" s="1"/>
  <c r="G3034" i="57"/>
  <c r="G3180" i="57" s="1"/>
  <c r="G3476" i="57" s="1"/>
  <c r="I3002" i="57"/>
  <c r="I3157" i="57" s="1"/>
  <c r="I3435" i="57" s="1"/>
  <c r="I2286" i="57"/>
  <c r="I2373" i="57" s="1"/>
  <c r="I2544" i="57" s="1"/>
  <c r="H3040" i="57"/>
  <c r="H3186" i="57" s="1"/>
  <c r="H3485" i="57" s="1"/>
  <c r="E3035" i="57"/>
  <c r="E3181" i="57" s="1"/>
  <c r="E3479" i="57" s="1"/>
  <c r="I3034" i="57"/>
  <c r="I3180" i="57" s="1"/>
  <c r="I3476" i="57" s="1"/>
  <c r="E3039" i="57"/>
  <c r="E3185" i="57" s="1"/>
  <c r="E3484" i="57" s="1"/>
  <c r="G3040" i="57"/>
  <c r="G3186" i="57" s="1"/>
  <c r="G3485" i="57" s="1"/>
  <c r="H3034" i="57"/>
  <c r="H3180" i="57" s="1"/>
  <c r="H3476" i="57" s="1"/>
  <c r="D2304" i="57"/>
  <c r="D2378" i="57" s="1"/>
  <c r="D2549" i="57" s="1"/>
  <c r="D3007" i="57"/>
  <c r="D3162" i="57" s="1"/>
  <c r="D3440" i="57" s="1"/>
  <c r="F2304" i="57"/>
  <c r="F2378" i="57" s="1"/>
  <c r="F2549" i="57" s="1"/>
  <c r="F3007" i="57"/>
  <c r="F3162" i="57" s="1"/>
  <c r="F3440" i="57" s="1"/>
  <c r="E3008" i="57"/>
  <c r="E3163" i="57" s="1"/>
  <c r="E3441" i="57" s="1"/>
  <c r="E2305" i="57"/>
  <c r="E2379" i="57" s="1"/>
  <c r="E2550" i="57" s="1"/>
  <c r="I2540" i="57"/>
  <c r="J1939" i="57"/>
  <c r="J2221" i="57" s="1"/>
  <c r="J1958" i="57"/>
  <c r="J2241" i="57" s="1"/>
  <c r="J1915" i="57"/>
  <c r="J2192" i="57" s="1"/>
  <c r="E158" i="37"/>
  <c r="B158" i="37"/>
  <c r="B158" i="36"/>
  <c r="E158" i="38"/>
  <c r="B158" i="38"/>
  <c r="E158" i="35"/>
  <c r="E158" i="36"/>
  <c r="B158" i="35"/>
  <c r="E158" i="34"/>
  <c r="B158" i="34"/>
  <c r="B118" i="41"/>
  <c r="G3062" i="57"/>
  <c r="G3199" i="57" s="1"/>
  <c r="G3528" i="57" s="1"/>
  <c r="C3062" i="57"/>
  <c r="C3199" i="57" s="1"/>
  <c r="C3528" i="57" s="1"/>
  <c r="I3040" i="57"/>
  <c r="I3186" i="57" s="1"/>
  <c r="I3485" i="57" s="1"/>
  <c r="E2999" i="57"/>
  <c r="E3154" i="57" s="1"/>
  <c r="E3432" i="57" s="1"/>
  <c r="E2285" i="57"/>
  <c r="E2370" i="57" s="1"/>
  <c r="E2541" i="57" s="1"/>
  <c r="B3062" i="57"/>
  <c r="B3199" i="57" s="1"/>
  <c r="B3528" i="57" s="1"/>
  <c r="J3035" i="57"/>
  <c r="J3181" i="57" s="1"/>
  <c r="J3479" i="57" s="1"/>
  <c r="C3040" i="57"/>
  <c r="C3186" i="57" s="1"/>
  <c r="C3485" i="57" s="1"/>
  <c r="D2999" i="57"/>
  <c r="D3154" i="57" s="1"/>
  <c r="D3432" i="57" s="1"/>
  <c r="D2285" i="57"/>
  <c r="D2370" i="57" s="1"/>
  <c r="D2541" i="57" s="1"/>
  <c r="D3035" i="57"/>
  <c r="D3181" i="57" s="1"/>
  <c r="D3479" i="57" s="1"/>
  <c r="C3035" i="57"/>
  <c r="C3181" i="57" s="1"/>
  <c r="C3479" i="57" s="1"/>
  <c r="J3008" i="57"/>
  <c r="J3163" i="57" s="1"/>
  <c r="J3441" i="57" s="1"/>
  <c r="J2305" i="57"/>
  <c r="J2379" i="57" s="1"/>
  <c r="J2550" i="57" s="1"/>
  <c r="H2540" i="57"/>
  <c r="G2999" i="57"/>
  <c r="G3154" i="57" s="1"/>
  <c r="G3432" i="57" s="1"/>
  <c r="G2285" i="57"/>
  <c r="G2370" i="57" s="1"/>
  <c r="G2541" i="57" s="1"/>
  <c r="I3035" i="57"/>
  <c r="I3181" i="57" s="1"/>
  <c r="I3479" i="57" s="1"/>
  <c r="C2999" i="57"/>
  <c r="C3154" i="57" s="1"/>
  <c r="C3432" i="57" s="1"/>
  <c r="C2285" i="57"/>
  <c r="C2370" i="57" s="1"/>
  <c r="C2541" i="57" s="1"/>
  <c r="B3034" i="57"/>
  <c r="B3180" i="57" s="1"/>
  <c r="B3476" i="57" s="1"/>
  <c r="H2999" i="57"/>
  <c r="H3154" i="57" s="1"/>
  <c r="H3432" i="57" s="1"/>
  <c r="H2285" i="57"/>
  <c r="H2370" i="57" s="1"/>
  <c r="H2541" i="57" s="1"/>
  <c r="D3062" i="57"/>
  <c r="D3199" i="57" s="1"/>
  <c r="D3528" i="57" s="1"/>
  <c r="F3062" i="57"/>
  <c r="F3199" i="57" s="1"/>
  <c r="F3528" i="57" s="1"/>
  <c r="E3063" i="57"/>
  <c r="E3200" i="57" s="1"/>
  <c r="E3529" i="57" s="1"/>
  <c r="J2998" i="57"/>
  <c r="J3153" i="57" s="1"/>
  <c r="J3431" i="57" s="1"/>
  <c r="J2265" i="57"/>
  <c r="J2369" i="57" s="1"/>
  <c r="G2304" i="57"/>
  <c r="G2378" i="57" s="1"/>
  <c r="G2549" i="57" s="1"/>
  <c r="G3007" i="57"/>
  <c r="G3162" i="57" s="1"/>
  <c r="G3440" i="57" s="1"/>
  <c r="C3039" i="57"/>
  <c r="C3185" i="57" s="1"/>
  <c r="C3484" i="57" s="1"/>
  <c r="E3034" i="57"/>
  <c r="E3180" i="57" s="1"/>
  <c r="E3476" i="57" s="1"/>
  <c r="B3039" i="57"/>
  <c r="B3185" i="57" s="1"/>
  <c r="B3484" i="57" s="1"/>
  <c r="J2286" i="57"/>
  <c r="J2373" i="57" s="1"/>
  <c r="J2544" i="57" s="1"/>
  <c r="J3002" i="57"/>
  <c r="J3157" i="57" s="1"/>
  <c r="J3435" i="57" s="1"/>
  <c r="B3003" i="57"/>
  <c r="B3158" i="57" s="1"/>
  <c r="B3436" i="57" s="1"/>
  <c r="B2268" i="57"/>
  <c r="B2374" i="57" s="1"/>
  <c r="B2545" i="57" s="1"/>
  <c r="B1916" i="57"/>
  <c r="B2193" i="57" s="1"/>
  <c r="B1959" i="57"/>
  <c r="B2242" i="57" s="1"/>
  <c r="B1940" i="57"/>
  <c r="B2222" i="57" s="1"/>
  <c r="C3008" i="57"/>
  <c r="C3163" i="57" s="1"/>
  <c r="C3441" i="57" s="1"/>
  <c r="C2305" i="57"/>
  <c r="C2379" i="57" s="1"/>
  <c r="C2550" i="57" s="1"/>
  <c r="D3040" i="57"/>
  <c r="D3186" i="57" s="1"/>
  <c r="D3485" i="57" s="1"/>
  <c r="D3034" i="57"/>
  <c r="D3180" i="57" s="1"/>
  <c r="D3476" i="57" s="1"/>
  <c r="D3002" i="57"/>
  <c r="D3157" i="57" s="1"/>
  <c r="D3435" i="57" s="1"/>
  <c r="D2286" i="57"/>
  <c r="D2373" i="57" s="1"/>
  <c r="D2544" i="57" s="1"/>
  <c r="I2304" i="57"/>
  <c r="I2378" i="57" s="1"/>
  <c r="I2549" i="57" s="1"/>
  <c r="I3007" i="57"/>
  <c r="I3162" i="57" s="1"/>
  <c r="I3440" i="57" s="1"/>
  <c r="C2286" i="57"/>
  <c r="C2373" i="57" s="1"/>
  <c r="C2544" i="57" s="1"/>
  <c r="C3002" i="57"/>
  <c r="C3157" i="57" s="1"/>
  <c r="C3435" i="57" s="1"/>
  <c r="G3035" i="57"/>
  <c r="G3181" i="57" s="1"/>
  <c r="G3479" i="57" s="1"/>
  <c r="H3039" i="57"/>
  <c r="H3185" i="57" s="1"/>
  <c r="H3484" i="57" s="1"/>
  <c r="C3034" i="57"/>
  <c r="C3180" i="57" s="1"/>
  <c r="C3476" i="57" s="1"/>
  <c r="E2304" i="57"/>
  <c r="E2378" i="57" s="1"/>
  <c r="E2549" i="57" s="1"/>
  <c r="E3007" i="57"/>
  <c r="E3162" i="57" s="1"/>
  <c r="E3440" i="57" s="1"/>
  <c r="G3008" i="57"/>
  <c r="G3163" i="57" s="1"/>
  <c r="G3441" i="57" s="1"/>
  <c r="G2305" i="57"/>
  <c r="G2379" i="57" s="1"/>
  <c r="G2550" i="57" s="1"/>
  <c r="B2999" i="57"/>
  <c r="B3154" i="57" s="1"/>
  <c r="B3432" i="57" s="1"/>
  <c r="B2285" i="57"/>
  <c r="B2370" i="57" s="1"/>
  <c r="B2541" i="57" s="1"/>
  <c r="H3002" i="57"/>
  <c r="H3157" i="57" s="1"/>
  <c r="H3435" i="57" s="1"/>
  <c r="D3039" i="57"/>
  <c r="D3185" i="57" s="1"/>
  <c r="D3484" i="57" s="1"/>
  <c r="F3034" i="57"/>
  <c r="F3180" i="57" s="1"/>
  <c r="F3476" i="57" s="1"/>
  <c r="E3040" i="57"/>
  <c r="E3186" i="57" s="1"/>
  <c r="E3485" i="57" s="1"/>
  <c r="I3008" i="57"/>
  <c r="I3163" i="57" s="1"/>
  <c r="I3441" i="57" s="1"/>
  <c r="I2305" i="57"/>
  <c r="I2379" i="57" s="1"/>
  <c r="I2550" i="57" s="1"/>
  <c r="B2540" i="57"/>
  <c r="B2304" i="57"/>
  <c r="B2378" i="57" s="1"/>
  <c r="B2549" i="57" s="1"/>
  <c r="B3007" i="57"/>
  <c r="B3162" i="57" s="1"/>
  <c r="B3440" i="57" s="1"/>
  <c r="G2998" i="57" l="1"/>
  <c r="G3153" i="57" s="1"/>
  <c r="G3431" i="57" s="1"/>
  <c r="H1935" i="57"/>
  <c r="H2217" i="57" s="1"/>
  <c r="H1959" i="57"/>
  <c r="H2242" i="57" s="1"/>
  <c r="H3063" i="57" s="1"/>
  <c r="H3200" i="57" s="1"/>
  <c r="H3529" i="57" s="1"/>
  <c r="H1916" i="57"/>
  <c r="H2193" i="57" s="1"/>
  <c r="C3000" i="57"/>
  <c r="C3155" i="57" s="1"/>
  <c r="C3433" i="57" s="1"/>
  <c r="C2266" i="57"/>
  <c r="C2371" i="57" s="1"/>
  <c r="C2542" i="57" s="1"/>
  <c r="J3003" i="57"/>
  <c r="J3158" i="57" s="1"/>
  <c r="J3436" i="57" s="1"/>
  <c r="J2268" i="57"/>
  <c r="J2374" i="57" s="1"/>
  <c r="J2545" i="57" s="1"/>
  <c r="F1909" i="57"/>
  <c r="F2186" i="57" s="1"/>
  <c r="F3001" i="57" s="1"/>
  <c r="F3156" i="57" s="1"/>
  <c r="F3434" i="57" s="1"/>
  <c r="F2998" i="57"/>
  <c r="F3153" i="57" s="1"/>
  <c r="F3431" i="57" s="1"/>
  <c r="F2265" i="57"/>
  <c r="F2369" i="57" s="1"/>
  <c r="F2540" i="57" s="1"/>
  <c r="G2566" i="57"/>
  <c r="E2409" i="57"/>
  <c r="D3003" i="57"/>
  <c r="D3158" i="57" s="1"/>
  <c r="D3436" i="57" s="1"/>
  <c r="D2268" i="57"/>
  <c r="D2374" i="57" s="1"/>
  <c r="D2545" i="57" s="1"/>
  <c r="F2267" i="57"/>
  <c r="F2372" i="57" s="1"/>
  <c r="F2543" i="57" s="1"/>
  <c r="F1910" i="57"/>
  <c r="F2187" i="57" s="1"/>
  <c r="F1935" i="57"/>
  <c r="F2217" i="57" s="1"/>
  <c r="F3035" i="57" s="1"/>
  <c r="F3181" i="57" s="1"/>
  <c r="F3479" i="57" s="1"/>
  <c r="I2267" i="57"/>
  <c r="I2372" i="57" s="1"/>
  <c r="I3001" i="57"/>
  <c r="I3156" i="57" s="1"/>
  <c r="I3434" i="57" s="1"/>
  <c r="G2409" i="57"/>
  <c r="E2566" i="57"/>
  <c r="E2624" i="57" s="1"/>
  <c r="H2267" i="57"/>
  <c r="H2372" i="57" s="1"/>
  <c r="H3001" i="57"/>
  <c r="H3156" i="57" s="1"/>
  <c r="H3434" i="57" s="1"/>
  <c r="F1916" i="57"/>
  <c r="F2193" i="57" s="1"/>
  <c r="F1940" i="57"/>
  <c r="F2222" i="57" s="1"/>
  <c r="F3040" i="57" s="1"/>
  <c r="F3186" i="57" s="1"/>
  <c r="F3485" i="57" s="1"/>
  <c r="F1959" i="57"/>
  <c r="F2242" i="57" s="1"/>
  <c r="F3063" i="57" s="1"/>
  <c r="F3200" i="57" s="1"/>
  <c r="F3529" i="57" s="1"/>
  <c r="J2267" i="57"/>
  <c r="J2372" i="57" s="1"/>
  <c r="J2543" i="57" s="1"/>
  <c r="J3001" i="57"/>
  <c r="J3156" i="57" s="1"/>
  <c r="J3434" i="57" s="1"/>
  <c r="D2265" i="57"/>
  <c r="D2369" i="57" s="1"/>
  <c r="D2998" i="57"/>
  <c r="D3153" i="57" s="1"/>
  <c r="D3431" i="57" s="1"/>
  <c r="F3000" i="57"/>
  <c r="F3155" i="57" s="1"/>
  <c r="F3433" i="57" s="1"/>
  <c r="F2266" i="57"/>
  <c r="F2371" i="57" s="1"/>
  <c r="D2267" i="57"/>
  <c r="D2372" i="57" s="1"/>
  <c r="D2543" i="57" s="1"/>
  <c r="D3001" i="57"/>
  <c r="D3156" i="57" s="1"/>
  <c r="D3434" i="57" s="1"/>
  <c r="H2268" i="57"/>
  <c r="H2374" i="57" s="1"/>
  <c r="H2545" i="57" s="1"/>
  <c r="H3003" i="57"/>
  <c r="H3158" i="57" s="1"/>
  <c r="H3436" i="57" s="1"/>
  <c r="I3003" i="57"/>
  <c r="I3158" i="57" s="1"/>
  <c r="I3436" i="57" s="1"/>
  <c r="I2268" i="57"/>
  <c r="I2374" i="57" s="1"/>
  <c r="I2545" i="57" s="1"/>
  <c r="F1911" i="57"/>
  <c r="F2188" i="57" s="1"/>
  <c r="D2266" i="57"/>
  <c r="D2371" i="57" s="1"/>
  <c r="D2542" i="57" s="1"/>
  <c r="D3000" i="57"/>
  <c r="D3155" i="57" s="1"/>
  <c r="D3433" i="57" s="1"/>
  <c r="C2265" i="57"/>
  <c r="C2369" i="57" s="1"/>
  <c r="C2998" i="57"/>
  <c r="C3153" i="57" s="1"/>
  <c r="C3431" i="57" s="1"/>
  <c r="J3034" i="57"/>
  <c r="J3180" i="57" s="1"/>
  <c r="J3476" i="57" s="1"/>
  <c r="J3039" i="57"/>
  <c r="J3185" i="57" s="1"/>
  <c r="J3484" i="57" s="1"/>
  <c r="J2999" i="57"/>
  <c r="J3154" i="57" s="1"/>
  <c r="J3432" i="57" s="1"/>
  <c r="J2285" i="57"/>
  <c r="J2370" i="57" s="1"/>
  <c r="J2541" i="57" s="1"/>
  <c r="B3040" i="57"/>
  <c r="B3186" i="57" s="1"/>
  <c r="B3485" i="57" s="1"/>
  <c r="G2624" i="57"/>
  <c r="G2733" i="57" s="1"/>
  <c r="P2942" i="57" s="1"/>
  <c r="B3035" i="57"/>
  <c r="B3181" i="57" s="1"/>
  <c r="B3479" i="57" s="1"/>
  <c r="B3008" i="57"/>
  <c r="B3163" i="57" s="1"/>
  <c r="B3441" i="57" s="1"/>
  <c r="B2305" i="57"/>
  <c r="B2379" i="57" s="1"/>
  <c r="B2550" i="57" s="1"/>
  <c r="B159" i="38"/>
  <c r="E159" i="38"/>
  <c r="E159" i="35"/>
  <c r="E159" i="36"/>
  <c r="B159" i="35"/>
  <c r="E159" i="37"/>
  <c r="B159" i="36"/>
  <c r="B159" i="37"/>
  <c r="E159" i="34"/>
  <c r="B159" i="34"/>
  <c r="B119" i="41"/>
  <c r="B120" i="41" s="1"/>
  <c r="J3062" i="57"/>
  <c r="J3199" i="57" s="1"/>
  <c r="J3528" i="57" s="1"/>
  <c r="B3063" i="57"/>
  <c r="B3200" i="57" s="1"/>
  <c r="B3529" i="57" s="1"/>
  <c r="J2540" i="57"/>
  <c r="J2304" i="57"/>
  <c r="J2378" i="57" s="1"/>
  <c r="J2549" i="57" s="1"/>
  <c r="J3007" i="57"/>
  <c r="J3162" i="57" s="1"/>
  <c r="J3440" i="57" s="1"/>
  <c r="B3002" i="57"/>
  <c r="B3157" i="57" s="1"/>
  <c r="B3435" i="57" s="1"/>
  <c r="B2286" i="57"/>
  <c r="B2373" i="57" s="1"/>
  <c r="H3008" i="57" l="1"/>
  <c r="H3163" i="57" s="1"/>
  <c r="H3441" i="57" s="1"/>
  <c r="H2305" i="57"/>
  <c r="H2379" i="57" s="1"/>
  <c r="H2550" i="57" s="1"/>
  <c r="H2286" i="57"/>
  <c r="H2373" i="57" s="1"/>
  <c r="H2544" i="57" s="1"/>
  <c r="H3035" i="57"/>
  <c r="H3181" i="57" s="1"/>
  <c r="H3479" i="57" s="1"/>
  <c r="C2540" i="57"/>
  <c r="C2566" i="57" s="1"/>
  <c r="C2409" i="57"/>
  <c r="B2544" i="57"/>
  <c r="B2566" i="57" s="1"/>
  <c r="B2409" i="57"/>
  <c r="J2409" i="57"/>
  <c r="H2543" i="57"/>
  <c r="H2566" i="57" s="1"/>
  <c r="H2409" i="57"/>
  <c r="H2624" i="57" s="1"/>
  <c r="D2645" i="57"/>
  <c r="E2693" i="57" s="1"/>
  <c r="D2409" i="57"/>
  <c r="D2540" i="57"/>
  <c r="D2566" i="57" s="1"/>
  <c r="F2286" i="57"/>
  <c r="F2373" i="57" s="1"/>
  <c r="F2544" i="57" s="1"/>
  <c r="F3002" i="57"/>
  <c r="F3157" i="57" s="1"/>
  <c r="F3435" i="57" s="1"/>
  <c r="J2566" i="57"/>
  <c r="B2575" i="57" s="1"/>
  <c r="J2613" i="57" s="1"/>
  <c r="J3085" i="57" s="1"/>
  <c r="F2268" i="57"/>
  <c r="F2374" i="57" s="1"/>
  <c r="F2545" i="57" s="1"/>
  <c r="F3003" i="57"/>
  <c r="F3158" i="57" s="1"/>
  <c r="F3436" i="57" s="1"/>
  <c r="F2542" i="57"/>
  <c r="F3008" i="57"/>
  <c r="F3163" i="57" s="1"/>
  <c r="F3441" i="57" s="1"/>
  <c r="F2305" i="57"/>
  <c r="F2379" i="57" s="1"/>
  <c r="F2550" i="57" s="1"/>
  <c r="I2543" i="57"/>
  <c r="I2566" i="57" s="1"/>
  <c r="I2409" i="57"/>
  <c r="J3114" i="57"/>
  <c r="J3101" i="57"/>
  <c r="J3218" i="57"/>
  <c r="J3100" i="57"/>
  <c r="J3325" i="57" s="1"/>
  <c r="J3564" i="57" s="1"/>
  <c r="J3111" i="57"/>
  <c r="J3615" i="57" s="1"/>
  <c r="J3227" i="57"/>
  <c r="J3654" i="57" s="1"/>
  <c r="J3116" i="57"/>
  <c r="J3232" i="57"/>
  <c r="J3216" i="57"/>
  <c r="J3107" i="57"/>
  <c r="J3330" i="57" s="1"/>
  <c r="J3571" i="57" s="1"/>
  <c r="J3234" i="57"/>
  <c r="J3110" i="57"/>
  <c r="J3614" i="57" s="1"/>
  <c r="J3115" i="57"/>
  <c r="J3226" i="57"/>
  <c r="J3233" i="57"/>
  <c r="J3113" i="57"/>
  <c r="J3108" i="57"/>
  <c r="J3331" i="57" s="1"/>
  <c r="J3572" i="57" s="1"/>
  <c r="J3223" i="57"/>
  <c r="J3103" i="57"/>
  <c r="J3327" i="57" s="1"/>
  <c r="J3567" i="57" s="1"/>
  <c r="J3219" i="57"/>
  <c r="J3102" i="57"/>
  <c r="J3326" i="57" s="1"/>
  <c r="J3566" i="57" s="1"/>
  <c r="J3112" i="57"/>
  <c r="J3616" i="57" s="1"/>
  <c r="J3225" i="57"/>
  <c r="J3106" i="57"/>
  <c r="J3329" i="57" s="1"/>
  <c r="J3570" i="57" s="1"/>
  <c r="J3104" i="57"/>
  <c r="J3230" i="57"/>
  <c r="J3217" i="57"/>
  <c r="J3222" i="57"/>
  <c r="J3228" i="57"/>
  <c r="J3655" i="57" s="1"/>
  <c r="J3220" i="57"/>
  <c r="J3231" i="57"/>
  <c r="J3109" i="57"/>
  <c r="J3332" i="57" s="1"/>
  <c r="J3573" i="57" s="1"/>
  <c r="J3224" i="57"/>
  <c r="J3099" i="57"/>
  <c r="J3324" i="57" s="1"/>
  <c r="J3563" i="57" s="1"/>
  <c r="J3105" i="57"/>
  <c r="J3328" i="57" s="1"/>
  <c r="J3569" i="57" s="1"/>
  <c r="J3229" i="57"/>
  <c r="J3656" i="57" s="1"/>
  <c r="J3221" i="57"/>
  <c r="J3117" i="57"/>
  <c r="E161" i="37"/>
  <c r="B161" i="36"/>
  <c r="B161" i="37"/>
  <c r="E161" i="38"/>
  <c r="E161" i="35"/>
  <c r="B161" i="35"/>
  <c r="B161" i="38"/>
  <c r="E161" i="36"/>
  <c r="B161" i="34"/>
  <c r="E161" i="34"/>
  <c r="B121" i="41"/>
  <c r="J2624" i="57"/>
  <c r="P3397" i="57"/>
  <c r="P3412" i="57" s="1"/>
  <c r="R3709" i="57" s="1"/>
  <c r="P3396" i="57"/>
  <c r="P3411" i="57" s="1"/>
  <c r="R3707" i="57" s="1"/>
  <c r="P2984" i="57"/>
  <c r="R3461" i="57" s="1"/>
  <c r="P2974" i="57"/>
  <c r="R3451" i="57" s="1"/>
  <c r="P2970" i="57"/>
  <c r="P3142" i="57" s="1"/>
  <c r="P2966" i="57"/>
  <c r="P3138" i="57" s="1"/>
  <c r="P3355" i="57" s="1"/>
  <c r="P3367" i="57" s="1"/>
  <c r="R3696" i="57" s="1"/>
  <c r="P2979" i="57"/>
  <c r="R3456" i="57" s="1"/>
  <c r="P2971" i="57"/>
  <c r="P3143" i="57" s="1"/>
  <c r="P2965" i="57"/>
  <c r="P3137" i="57" s="1"/>
  <c r="P3354" i="57" s="1"/>
  <c r="P3366" i="57" s="1"/>
  <c r="R3695" i="57" s="1"/>
  <c r="P2961" i="57"/>
  <c r="P3133" i="57" s="1"/>
  <c r="P3012" i="57"/>
  <c r="P3045" i="57"/>
  <c r="R3498" i="57" s="1"/>
  <c r="P3072" i="57"/>
  <c r="R3550" i="57" s="1"/>
  <c r="P3020" i="57"/>
  <c r="R3459" i="57" s="1"/>
  <c r="P3069" i="57"/>
  <c r="R3543" i="57" s="1"/>
  <c r="P3050" i="57"/>
  <c r="R3507" i="57" s="1"/>
  <c r="P3044" i="57"/>
  <c r="P3068" i="57"/>
  <c r="R3542" i="57" s="1"/>
  <c r="P3014" i="57"/>
  <c r="P3070" i="57"/>
  <c r="R3546" i="57" s="1"/>
  <c r="P3399" i="57"/>
  <c r="P3414" i="57" s="1"/>
  <c r="R3713" i="57" s="1"/>
  <c r="P3398" i="57"/>
  <c r="P3413" i="57" s="1"/>
  <c r="R3711" i="57" s="1"/>
  <c r="P2978" i="57"/>
  <c r="P2964" i="57"/>
  <c r="P3136" i="57" s="1"/>
  <c r="P2960" i="57"/>
  <c r="P3132" i="57" s="1"/>
  <c r="P2956" i="57"/>
  <c r="P3128" i="57" s="1"/>
  <c r="P3085" i="57"/>
  <c r="P2959" i="57"/>
  <c r="P3131" i="57" s="1"/>
  <c r="P2981" i="57"/>
  <c r="P2957" i="57"/>
  <c r="P3129" i="57" s="1"/>
  <c r="P3019" i="57"/>
  <c r="R3458" i="57" s="1"/>
  <c r="P3065" i="57"/>
  <c r="P3202" i="57" s="1"/>
  <c r="R3531" i="57" s="1"/>
  <c r="P3016" i="57"/>
  <c r="P3013" i="57"/>
  <c r="P3064" i="57"/>
  <c r="P3201" i="57" s="1"/>
  <c r="R3530" i="57" s="1"/>
  <c r="P3048" i="57"/>
  <c r="R3503" i="57" s="1"/>
  <c r="P3010" i="57"/>
  <c r="P3165" i="57" s="1"/>
  <c r="R3443" i="57" s="1"/>
  <c r="P3073" i="57"/>
  <c r="R3551" i="57" s="1"/>
  <c r="P3041" i="57"/>
  <c r="P3187" i="57" s="1"/>
  <c r="R3486" i="57" s="1"/>
  <c r="P3049" i="57"/>
  <c r="R3506" i="57" s="1"/>
  <c r="P3400" i="57"/>
  <c r="P3415" i="57" s="1"/>
  <c r="R3715" i="57" s="1"/>
  <c r="P2982" i="57"/>
  <c r="P2976" i="57"/>
  <c r="R3453" i="57" s="1"/>
  <c r="P2972" i="57"/>
  <c r="P3144" i="57" s="1"/>
  <c r="P2968" i="57"/>
  <c r="P3140" i="57" s="1"/>
  <c r="P2983" i="57"/>
  <c r="R3460" i="57" s="1"/>
  <c r="P2975" i="57"/>
  <c r="R3452" i="57" s="1"/>
  <c r="P2967" i="57"/>
  <c r="P3139" i="57" s="1"/>
  <c r="P3356" i="57" s="1"/>
  <c r="P3368" i="57" s="1"/>
  <c r="R3697" i="57" s="1"/>
  <c r="P2973" i="57"/>
  <c r="R3450" i="57" s="1"/>
  <c r="P2985" i="57"/>
  <c r="P3009" i="57"/>
  <c r="P3164" i="57" s="1"/>
  <c r="R3442" i="57" s="1"/>
  <c r="P3047" i="57"/>
  <c r="R3502" i="57" s="1"/>
  <c r="P3005" i="57"/>
  <c r="P3160" i="57" s="1"/>
  <c r="R3438" i="57" s="1"/>
  <c r="P3004" i="57"/>
  <c r="P3159" i="57" s="1"/>
  <c r="R3437" i="57" s="1"/>
  <c r="P3042" i="57"/>
  <c r="P3188" i="57" s="1"/>
  <c r="R3487" i="57" s="1"/>
  <c r="P3066" i="57"/>
  <c r="P3203" i="57" s="1"/>
  <c r="R3532" i="57" s="1"/>
  <c r="P3017" i="57"/>
  <c r="R3454" i="57" s="1"/>
  <c r="P3046" i="57"/>
  <c r="R3499" i="57" s="1"/>
  <c r="P3022" i="57"/>
  <c r="R3463" i="57" s="1"/>
  <c r="P3067" i="57"/>
  <c r="P3043" i="57"/>
  <c r="P3189" i="57" s="1"/>
  <c r="R3488" i="57" s="1"/>
  <c r="P3015" i="57"/>
  <c r="P2986" i="57"/>
  <c r="P2954" i="57"/>
  <c r="P3126" i="57" s="1"/>
  <c r="P2963" i="57"/>
  <c r="P3135" i="57" s="1"/>
  <c r="P2977" i="57"/>
  <c r="P3395" i="57"/>
  <c r="P3410" i="57" s="1"/>
  <c r="R3705" i="57" s="1"/>
  <c r="P2980" i="57"/>
  <c r="R3457" i="57" s="1"/>
  <c r="P2955" i="57"/>
  <c r="P3127" i="57" s="1"/>
  <c r="P2969" i="57"/>
  <c r="P3141" i="57" s="1"/>
  <c r="P2962" i="57"/>
  <c r="P3134" i="57" s="1"/>
  <c r="P3037" i="57"/>
  <c r="P3183" i="57" s="1"/>
  <c r="R3482" i="57" s="1"/>
  <c r="P2958" i="57"/>
  <c r="P3130" i="57" s="1"/>
  <c r="P3021" i="57"/>
  <c r="R3462" i="57" s="1"/>
  <c r="P3036" i="57"/>
  <c r="P3182" i="57" s="1"/>
  <c r="R3481" i="57" s="1"/>
  <c r="P3011" i="57"/>
  <c r="P3166" i="57" s="1"/>
  <c r="R3444" i="57" s="1"/>
  <c r="P3018" i="57"/>
  <c r="R3455" i="57" s="1"/>
  <c r="P3006" i="57"/>
  <c r="P3161" i="57" s="1"/>
  <c r="R3439" i="57" s="1"/>
  <c r="P3038" i="57"/>
  <c r="P3184" i="57" s="1"/>
  <c r="R3483" i="57" s="1"/>
  <c r="P3071" i="57"/>
  <c r="R3547" i="57" s="1"/>
  <c r="P3000" i="57"/>
  <c r="P3155" i="57" s="1"/>
  <c r="R3433" i="57" s="1"/>
  <c r="P3003" i="57"/>
  <c r="P3158" i="57" s="1"/>
  <c r="R3436" i="57" s="1"/>
  <c r="P3001" i="57"/>
  <c r="P3156" i="57" s="1"/>
  <c r="R3434" i="57" s="1"/>
  <c r="P2998" i="57"/>
  <c r="P3153" i="57" s="1"/>
  <c r="R3431" i="57" s="1"/>
  <c r="P3002" i="57"/>
  <c r="P3157" i="57" s="1"/>
  <c r="R3435" i="57" s="1"/>
  <c r="P3034" i="57"/>
  <c r="P3180" i="57" s="1"/>
  <c r="R3476" i="57" s="1"/>
  <c r="P2999" i="57"/>
  <c r="P3154" i="57" s="1"/>
  <c r="R3432" i="57" s="1"/>
  <c r="P3063" i="57"/>
  <c r="P3200" i="57" s="1"/>
  <c r="R3529" i="57" s="1"/>
  <c r="P3035" i="57"/>
  <c r="P3181" i="57" s="1"/>
  <c r="R3479" i="57" s="1"/>
  <c r="P3039" i="57"/>
  <c r="P3185" i="57" s="1"/>
  <c r="R3484" i="57" s="1"/>
  <c r="P3040" i="57"/>
  <c r="P3186" i="57" s="1"/>
  <c r="R3485" i="57" s="1"/>
  <c r="P3062" i="57"/>
  <c r="P3199" i="57" s="1"/>
  <c r="R3528" i="57" s="1"/>
  <c r="P3007" i="57"/>
  <c r="P3162" i="57" s="1"/>
  <c r="R3440" i="57" s="1"/>
  <c r="P3008" i="57"/>
  <c r="P3163" i="57" s="1"/>
  <c r="R3441" i="57" s="1"/>
  <c r="F2566" i="57" l="1"/>
  <c r="D2624" i="57"/>
  <c r="I2624" i="57"/>
  <c r="F2409" i="57"/>
  <c r="F2624" i="57" s="1"/>
  <c r="C2624" i="57"/>
  <c r="I2645" i="57"/>
  <c r="J2693" i="57" s="1"/>
  <c r="C2645" i="57"/>
  <c r="D2693" i="57" s="1"/>
  <c r="G2645" i="57"/>
  <c r="H2693" i="57" s="1"/>
  <c r="B2624" i="57"/>
  <c r="R3493" i="57"/>
  <c r="P3190" i="57"/>
  <c r="B162" i="38"/>
  <c r="B162" i="37"/>
  <c r="E162" i="35"/>
  <c r="E162" i="38"/>
  <c r="E162" i="36"/>
  <c r="B162" i="35"/>
  <c r="B162" i="36"/>
  <c r="E162" i="37"/>
  <c r="E162" i="34"/>
  <c r="B122" i="41"/>
  <c r="B162" i="34"/>
  <c r="P3204" i="57"/>
  <c r="R3537" i="57"/>
  <c r="P3227" i="57"/>
  <c r="R3654" i="57" s="1"/>
  <c r="P3110" i="57"/>
  <c r="R3614" i="57" s="1"/>
  <c r="P3216" i="57"/>
  <c r="P3099" i="57"/>
  <c r="P3324" i="57" s="1"/>
  <c r="R3563" i="57" s="1"/>
  <c r="P3105" i="57"/>
  <c r="P3328" i="57" s="1"/>
  <c r="R3569" i="57" s="1"/>
  <c r="P3222" i="57"/>
  <c r="P3221" i="57"/>
  <c r="P3104" i="57"/>
  <c r="P3220" i="57"/>
  <c r="P3109" i="57"/>
  <c r="P3332" i="57" s="1"/>
  <c r="R3573" i="57" s="1"/>
  <c r="P3218" i="57"/>
  <c r="P3113" i="57"/>
  <c r="P3225" i="57"/>
  <c r="P3102" i="57"/>
  <c r="P3326" i="57" s="1"/>
  <c r="R3566" i="57" s="1"/>
  <c r="P3111" i="57"/>
  <c r="R3615" i="57" s="1"/>
  <c r="P3224" i="57"/>
  <c r="P3112" i="57"/>
  <c r="R3616" i="57" s="1"/>
  <c r="P3103" i="57"/>
  <c r="P3327" i="57" s="1"/>
  <c r="R3567" i="57" s="1"/>
  <c r="P3115" i="57"/>
  <c r="P3233" i="57"/>
  <c r="P3230" i="57"/>
  <c r="P3223" i="57"/>
  <c r="P3234" i="57"/>
  <c r="P3228" i="57"/>
  <c r="R3655" i="57" s="1"/>
  <c r="P3229" i="57"/>
  <c r="R3656" i="57" s="1"/>
  <c r="P3231" i="57"/>
  <c r="P3100" i="57"/>
  <c r="P3325" i="57" s="1"/>
  <c r="R3564" i="57" s="1"/>
  <c r="P3226" i="57"/>
  <c r="P3232" i="57"/>
  <c r="P3116" i="57"/>
  <c r="P3106" i="57"/>
  <c r="P3329" i="57" s="1"/>
  <c r="R3570" i="57" s="1"/>
  <c r="P3117" i="57"/>
  <c r="P3217" i="57"/>
  <c r="P3101" i="57"/>
  <c r="P3108" i="57"/>
  <c r="P3331" i="57" s="1"/>
  <c r="R3572" i="57" s="1"/>
  <c r="P3219" i="57"/>
  <c r="P3107" i="57"/>
  <c r="P3330" i="57" s="1"/>
  <c r="R3571" i="57" s="1"/>
  <c r="P3114" i="57"/>
  <c r="P3169" i="57"/>
  <c r="R3447" i="57"/>
  <c r="R3445" i="57"/>
  <c r="P3167" i="57"/>
  <c r="P3171" i="57"/>
  <c r="R3449" i="57"/>
  <c r="R3448" i="57"/>
  <c r="P3170" i="57"/>
  <c r="R3446" i="57"/>
  <c r="P3168" i="57"/>
  <c r="E2645" i="57" l="1"/>
  <c r="F2693" i="57" s="1"/>
  <c r="H2645" i="57"/>
  <c r="I2693" i="57" s="1"/>
  <c r="B2645" i="57"/>
  <c r="C2693" i="57" s="1"/>
  <c r="E163" i="37"/>
  <c r="B163" i="38"/>
  <c r="B163" i="36"/>
  <c r="B163" i="37"/>
  <c r="E163" i="35"/>
  <c r="E163" i="38"/>
  <c r="E163" i="36"/>
  <c r="B163" i="35"/>
  <c r="B163" i="34"/>
  <c r="B123" i="41"/>
  <c r="B124" i="41" s="1"/>
  <c r="E163" i="34"/>
  <c r="M2693" i="57" l="1"/>
  <c r="B165" i="38"/>
  <c r="C165" i="37"/>
  <c r="E165" i="36"/>
  <c r="C165" i="35"/>
  <c r="E165" i="38"/>
  <c r="B165" i="37"/>
  <c r="C165" i="36"/>
  <c r="B165" i="35"/>
  <c r="C165" i="38"/>
  <c r="B165" i="36"/>
  <c r="E165" i="37"/>
  <c r="E165" i="35"/>
  <c r="E165" i="34"/>
  <c r="B165" i="34"/>
  <c r="C165" i="34"/>
  <c r="B125" i="41"/>
  <c r="I2715" i="57" l="1"/>
  <c r="B2715" i="57"/>
  <c r="B2733" i="57" s="1"/>
  <c r="K2942" i="57" s="1"/>
  <c r="E2715" i="57"/>
  <c r="C2715" i="57"/>
  <c r="F2715" i="57"/>
  <c r="J2715" i="57"/>
  <c r="H2715" i="57"/>
  <c r="G2715" i="57"/>
  <c r="D2715" i="57"/>
  <c r="L2715" i="57"/>
  <c r="L2724" i="57" s="1"/>
  <c r="K2715" i="57"/>
  <c r="K2724" i="57" s="1"/>
  <c r="C166" i="38"/>
  <c r="B166" i="37"/>
  <c r="B166" i="38"/>
  <c r="E166" i="35"/>
  <c r="E166" i="37"/>
  <c r="E166" i="36"/>
  <c r="C166" i="35"/>
  <c r="C166" i="37"/>
  <c r="C166" i="36"/>
  <c r="B166" i="35"/>
  <c r="B166" i="36"/>
  <c r="E166" i="38"/>
  <c r="B166" i="34"/>
  <c r="B126" i="41"/>
  <c r="C166" i="34"/>
  <c r="E166" i="34"/>
  <c r="E2733" i="57" l="1"/>
  <c r="N2942" i="57" s="1"/>
  <c r="E2724" i="57"/>
  <c r="C2733" i="57"/>
  <c r="L2942" i="57" s="1"/>
  <c r="C2724" i="57"/>
  <c r="B2757" i="57"/>
  <c r="B2746" i="57"/>
  <c r="B2778" i="57"/>
  <c r="B2751" i="57"/>
  <c r="B2747" i="57"/>
  <c r="B2765" i="57"/>
  <c r="B2753" i="57"/>
  <c r="B2772" i="57"/>
  <c r="B2755" i="57"/>
  <c r="B2749" i="57"/>
  <c r="B2748" i="57"/>
  <c r="B2762" i="57"/>
  <c r="B2769" i="57"/>
  <c r="B2767" i="57"/>
  <c r="B2775" i="57"/>
  <c r="B2791" i="57"/>
  <c r="B2761" i="57"/>
  <c r="B2756" i="57"/>
  <c r="B2776" i="57"/>
  <c r="B2777" i="57"/>
  <c r="B2764" i="57"/>
  <c r="B2788" i="57"/>
  <c r="V3446" i="57" s="1"/>
  <c r="B2766" i="57"/>
  <c r="B2750" i="57"/>
  <c r="B2760" i="57"/>
  <c r="B2754" i="57"/>
  <c r="B2758" i="57"/>
  <c r="B2787" i="57"/>
  <c r="V3445" i="57" s="1"/>
  <c r="B2771" i="57"/>
  <c r="B2790" i="57"/>
  <c r="V3448" i="57" s="1"/>
  <c r="B2763" i="57"/>
  <c r="B2773" i="57"/>
  <c r="B2774" i="57"/>
  <c r="B2789" i="57"/>
  <c r="V3447" i="57" s="1"/>
  <c r="B2759" i="57"/>
  <c r="B2770" i="57"/>
  <c r="B2768" i="57"/>
  <c r="B2752" i="57"/>
  <c r="C2753" i="57"/>
  <c r="W3570" i="57" s="1"/>
  <c r="C2766" i="57"/>
  <c r="W3583" i="57" s="1"/>
  <c r="C2767" i="57"/>
  <c r="W3584" i="57" s="1"/>
  <c r="C2763" i="57"/>
  <c r="C2761" i="57"/>
  <c r="C2776" i="57"/>
  <c r="W3593" i="57" s="1"/>
  <c r="C2773" i="57"/>
  <c r="W3590" i="57" s="1"/>
  <c r="C2771" i="57"/>
  <c r="W3588" i="57" s="1"/>
  <c r="C2752" i="57"/>
  <c r="W3569" i="57" s="1"/>
  <c r="C2755" i="57"/>
  <c r="W3572" i="57" s="1"/>
  <c r="C2746" i="57"/>
  <c r="W3563" i="57" s="1"/>
  <c r="C2765" i="57"/>
  <c r="W3582" i="57" s="1"/>
  <c r="C2775" i="57"/>
  <c r="W3592" i="57" s="1"/>
  <c r="C2768" i="57"/>
  <c r="W3585" i="57" s="1"/>
  <c r="C2777" i="57"/>
  <c r="W3594" i="57" s="1"/>
  <c r="C2760" i="57"/>
  <c r="C2756" i="57"/>
  <c r="W3573" i="57" s="1"/>
  <c r="C2758" i="57"/>
  <c r="W3575" i="57" s="1"/>
  <c r="C2751" i="57"/>
  <c r="C2770" i="57"/>
  <c r="W3587" i="57" s="1"/>
  <c r="C2750" i="57"/>
  <c r="W3567" i="57" s="1"/>
  <c r="C2764" i="57"/>
  <c r="C2778" i="57"/>
  <c r="W3595" i="57" s="1"/>
  <c r="C2769" i="57"/>
  <c r="W3586" i="57" s="1"/>
  <c r="C2749" i="57"/>
  <c r="W3566" i="57" s="1"/>
  <c r="C2772" i="57"/>
  <c r="W3589" i="57" s="1"/>
  <c r="C2747" i="57"/>
  <c r="W3564" i="57" s="1"/>
  <c r="C2759" i="57"/>
  <c r="W3576" i="57" s="1"/>
  <c r="C2762" i="57"/>
  <c r="C2754" i="57"/>
  <c r="W3571" i="57" s="1"/>
  <c r="C2757" i="57"/>
  <c r="W3574" i="57" s="1"/>
  <c r="C2774" i="57"/>
  <c r="W3591" i="57" s="1"/>
  <c r="C2748" i="57"/>
  <c r="J2733" i="57"/>
  <c r="S2942" i="57" s="1"/>
  <c r="J2724" i="57"/>
  <c r="K3040" i="57"/>
  <c r="K3186" i="57" s="1"/>
  <c r="M3485" i="57" s="1"/>
  <c r="K3035" i="57"/>
  <c r="K3181" i="57" s="1"/>
  <c r="M3479" i="57" s="1"/>
  <c r="K3063" i="57"/>
  <c r="K3200" i="57" s="1"/>
  <c r="M3529" i="57" s="1"/>
  <c r="K3002" i="57"/>
  <c r="K3157" i="57" s="1"/>
  <c r="M3435" i="57" s="1"/>
  <c r="K3008" i="57"/>
  <c r="K3163" i="57" s="1"/>
  <c r="M3441" i="57" s="1"/>
  <c r="K2971" i="57"/>
  <c r="K3143" i="57" s="1"/>
  <c r="K2984" i="57"/>
  <c r="M3461" i="57" s="1"/>
  <c r="K2982" i="57"/>
  <c r="K3047" i="57"/>
  <c r="M3502" i="57" s="1"/>
  <c r="K2985" i="57"/>
  <c r="K3085" i="57"/>
  <c r="K3011" i="57"/>
  <c r="K3166" i="57" s="1"/>
  <c r="M3444" i="57" s="1"/>
  <c r="K3397" i="57"/>
  <c r="K3412" i="57" s="1"/>
  <c r="M3709" i="57" s="1"/>
  <c r="K2969" i="57"/>
  <c r="K3141" i="57" s="1"/>
  <c r="K2980" i="57"/>
  <c r="M3457" i="57" s="1"/>
  <c r="K2978" i="57"/>
  <c r="K3044" i="57"/>
  <c r="K2970" i="57"/>
  <c r="K3142" i="57" s="1"/>
  <c r="K3400" i="57"/>
  <c r="K3415" i="57" s="1"/>
  <c r="M3715" i="57" s="1"/>
  <c r="K2975" i="57"/>
  <c r="M3452" i="57" s="1"/>
  <c r="K2957" i="57"/>
  <c r="K3129" i="57" s="1"/>
  <c r="K2960" i="57"/>
  <c r="K3132" i="57" s="1"/>
  <c r="K3009" i="57"/>
  <c r="K3164" i="57" s="1"/>
  <c r="M3442" i="57" s="1"/>
  <c r="K3395" i="57"/>
  <c r="K3410" i="57" s="1"/>
  <c r="M3705" i="57" s="1"/>
  <c r="K2974" i="57"/>
  <c r="M3451" i="57" s="1"/>
  <c r="K3041" i="57"/>
  <c r="K3187" i="57" s="1"/>
  <c r="M3486" i="57" s="1"/>
  <c r="K3016" i="57"/>
  <c r="K2973" i="57"/>
  <c r="M3450" i="57" s="1"/>
  <c r="K2955" i="57"/>
  <c r="K3127" i="57" s="1"/>
  <c r="K2956" i="57"/>
  <c r="K3128" i="57" s="1"/>
  <c r="K3066" i="57"/>
  <c r="K3203" i="57" s="1"/>
  <c r="M3532" i="57" s="1"/>
  <c r="K3013" i="57"/>
  <c r="K3019" i="57"/>
  <c r="M3458" i="57" s="1"/>
  <c r="K2966" i="57"/>
  <c r="K3138" i="57" s="1"/>
  <c r="K3355" i="57" s="1"/>
  <c r="K3367" i="57" s="1"/>
  <c r="M3696" i="57" s="1"/>
  <c r="K3046" i="57"/>
  <c r="M3499" i="57" s="1"/>
  <c r="K3072" i="57"/>
  <c r="M3550" i="57" s="1"/>
  <c r="K3036" i="57"/>
  <c r="K3182" i="57" s="1"/>
  <c r="M3481" i="57" s="1"/>
  <c r="K3071" i="57"/>
  <c r="M3547" i="57" s="1"/>
  <c r="K3049" i="57"/>
  <c r="M3506" i="57" s="1"/>
  <c r="K3001" i="57"/>
  <c r="K3156" i="57" s="1"/>
  <c r="M3434" i="57" s="1"/>
  <c r="K3003" i="57"/>
  <c r="K3158" i="57" s="1"/>
  <c r="M3436" i="57" s="1"/>
  <c r="K3399" i="57"/>
  <c r="K3414" i="57" s="1"/>
  <c r="M3713" i="57" s="1"/>
  <c r="K2967" i="57"/>
  <c r="K3139" i="57" s="1"/>
  <c r="K3356" i="57" s="1"/>
  <c r="K3368" i="57" s="1"/>
  <c r="M3697" i="57" s="1"/>
  <c r="K2958" i="57"/>
  <c r="K3130" i="57" s="1"/>
  <c r="K2979" i="57"/>
  <c r="M3456" i="57" s="1"/>
  <c r="K3014" i="57"/>
  <c r="K2963" i="57"/>
  <c r="K3135" i="57" s="1"/>
  <c r="K2986" i="57"/>
  <c r="K3037" i="57"/>
  <c r="K3183" i="57" s="1"/>
  <c r="M3482" i="57" s="1"/>
  <c r="K3017" i="57"/>
  <c r="M3454" i="57" s="1"/>
  <c r="K2999" i="57"/>
  <c r="K3154" i="57" s="1"/>
  <c r="M3432" i="57" s="1"/>
  <c r="K2961" i="57"/>
  <c r="K3133" i="57" s="1"/>
  <c r="K3038" i="57"/>
  <c r="K3184" i="57" s="1"/>
  <c r="M3483" i="57" s="1"/>
  <c r="K2965" i="57"/>
  <c r="K3137" i="57" s="1"/>
  <c r="K3354" i="57" s="1"/>
  <c r="K3366" i="57" s="1"/>
  <c r="M3695" i="57" s="1"/>
  <c r="K3005" i="57"/>
  <c r="K3160" i="57" s="1"/>
  <c r="M3438" i="57" s="1"/>
  <c r="K2959" i="57"/>
  <c r="K3131" i="57" s="1"/>
  <c r="K3015" i="57"/>
  <c r="K3073" i="57"/>
  <c r="M3551" i="57" s="1"/>
  <c r="K3067" i="57"/>
  <c r="K3022" i="57"/>
  <c r="M3463" i="57" s="1"/>
  <c r="K3048" i="57"/>
  <c r="M3503" i="57" s="1"/>
  <c r="K3000" i="57"/>
  <c r="K3155" i="57" s="1"/>
  <c r="M3433" i="57" s="1"/>
  <c r="K3007" i="57"/>
  <c r="K3162" i="57" s="1"/>
  <c r="M3440" i="57" s="1"/>
  <c r="K2976" i="57"/>
  <c r="M3453" i="57" s="1"/>
  <c r="K3043" i="57"/>
  <c r="K3189" i="57" s="1"/>
  <c r="M3488" i="57" s="1"/>
  <c r="K2954" i="57"/>
  <c r="K3126" i="57" s="1"/>
  <c r="K3396" i="57"/>
  <c r="K3411" i="57" s="1"/>
  <c r="M3707" i="57" s="1"/>
  <c r="K2972" i="57"/>
  <c r="K3144" i="57" s="1"/>
  <c r="K3012" i="57"/>
  <c r="K3069" i="57"/>
  <c r="M3543" i="57" s="1"/>
  <c r="K3006" i="57"/>
  <c r="K3161" i="57" s="1"/>
  <c r="M3439" i="57" s="1"/>
  <c r="K3004" i="57"/>
  <c r="K3159" i="57" s="1"/>
  <c r="M3437" i="57" s="1"/>
  <c r="K3042" i="57"/>
  <c r="K3188" i="57" s="1"/>
  <c r="M3487" i="57" s="1"/>
  <c r="K3039" i="57"/>
  <c r="K3185" i="57" s="1"/>
  <c r="M3484" i="57" s="1"/>
  <c r="K2981" i="57"/>
  <c r="K2968" i="57"/>
  <c r="K3140" i="57" s="1"/>
  <c r="K3064" i="57"/>
  <c r="K3201" i="57" s="1"/>
  <c r="M3530" i="57" s="1"/>
  <c r="K3070" i="57"/>
  <c r="M3546" i="57" s="1"/>
  <c r="K2983" i="57"/>
  <c r="M3460" i="57" s="1"/>
  <c r="K2964" i="57"/>
  <c r="K3136" i="57" s="1"/>
  <c r="K3018" i="57"/>
  <c r="M3455" i="57" s="1"/>
  <c r="K2977" i="57"/>
  <c r="K3398" i="57"/>
  <c r="K3413" i="57" s="1"/>
  <c r="M3711" i="57" s="1"/>
  <c r="K3045" i="57"/>
  <c r="M3498" i="57" s="1"/>
  <c r="K3065" i="57"/>
  <c r="K3202" i="57" s="1"/>
  <c r="M3531" i="57" s="1"/>
  <c r="K3021" i="57"/>
  <c r="M3462" i="57" s="1"/>
  <c r="K3062" i="57"/>
  <c r="K3199" i="57" s="1"/>
  <c r="M3528" i="57" s="1"/>
  <c r="K2962" i="57"/>
  <c r="K3134" i="57" s="1"/>
  <c r="K3050" i="57"/>
  <c r="M3507" i="57" s="1"/>
  <c r="K3010" i="57"/>
  <c r="K3165" i="57" s="1"/>
  <c r="M3443" i="57" s="1"/>
  <c r="K2998" i="57"/>
  <c r="K3153" i="57" s="1"/>
  <c r="M3431" i="57" s="1"/>
  <c r="K3034" i="57"/>
  <c r="K3180" i="57" s="1"/>
  <c r="M3476" i="57" s="1"/>
  <c r="K3020" i="57"/>
  <c r="M3459" i="57" s="1"/>
  <c r="K3068" i="57"/>
  <c r="M3542" i="57" s="1"/>
  <c r="H2733" i="57"/>
  <c r="Q2942" i="57" s="1"/>
  <c r="H2724" i="57"/>
  <c r="D2733" i="57"/>
  <c r="M2942" i="57" s="1"/>
  <c r="D2724" i="57"/>
  <c r="F2733" i="57"/>
  <c r="O2942" i="57" s="1"/>
  <c r="F2724" i="57"/>
  <c r="I2733" i="57"/>
  <c r="R2942" i="57" s="1"/>
  <c r="I2724" i="57"/>
  <c r="E167" i="38"/>
  <c r="C167" i="37"/>
  <c r="B167" i="37"/>
  <c r="B167" i="36"/>
  <c r="C167" i="38"/>
  <c r="E167" i="35"/>
  <c r="B167" i="38"/>
  <c r="E167" i="36"/>
  <c r="C167" i="35"/>
  <c r="E167" i="37"/>
  <c r="C167" i="36"/>
  <c r="B167" i="35"/>
  <c r="B127" i="41"/>
  <c r="B128" i="41" s="1"/>
  <c r="E167" i="34"/>
  <c r="C167" i="34"/>
  <c r="B167" i="34"/>
  <c r="D2763" i="57" l="1"/>
  <c r="O2969" i="57"/>
  <c r="O3141" i="57" s="1"/>
  <c r="O3085" i="57"/>
  <c r="O3067" i="57"/>
  <c r="O2974" i="57"/>
  <c r="Q3451" i="57" s="1"/>
  <c r="O3013" i="57"/>
  <c r="O2981" i="57"/>
  <c r="O2954" i="57"/>
  <c r="O3126" i="57" s="1"/>
  <c r="O3047" i="57"/>
  <c r="Q3502" i="57" s="1"/>
  <c r="O2982" i="57"/>
  <c r="O3066" i="57"/>
  <c r="O3203" i="57" s="1"/>
  <c r="Q3532" i="57" s="1"/>
  <c r="O3007" i="57"/>
  <c r="O3162" i="57" s="1"/>
  <c r="Q3440" i="57" s="1"/>
  <c r="O2999" i="57"/>
  <c r="O3154" i="57" s="1"/>
  <c r="Q3432" i="57" s="1"/>
  <c r="O2963" i="57"/>
  <c r="O3135" i="57" s="1"/>
  <c r="O3046" i="57"/>
  <c r="Q3499" i="57" s="1"/>
  <c r="O3050" i="57"/>
  <c r="Q3507" i="57" s="1"/>
  <c r="O2966" i="57"/>
  <c r="O3138" i="57" s="1"/>
  <c r="O3355" i="57" s="1"/>
  <c r="O3367" i="57" s="1"/>
  <c r="Q3696" i="57" s="1"/>
  <c r="O3014" i="57"/>
  <c r="O2975" i="57"/>
  <c r="Q3452" i="57" s="1"/>
  <c r="O2972" i="57"/>
  <c r="O3144" i="57" s="1"/>
  <c r="O3070" i="57"/>
  <c r="Q3546" i="57" s="1"/>
  <c r="O2968" i="57"/>
  <c r="O3140" i="57" s="1"/>
  <c r="O3068" i="57"/>
  <c r="Q3542" i="57" s="1"/>
  <c r="O3008" i="57"/>
  <c r="O3163" i="57" s="1"/>
  <c r="Q3441" i="57" s="1"/>
  <c r="O3062" i="57"/>
  <c r="O3199" i="57" s="1"/>
  <c r="Q3528" i="57" s="1"/>
  <c r="O3399" i="57"/>
  <c r="O3414" i="57" s="1"/>
  <c r="Q3713" i="57" s="1"/>
  <c r="O2978" i="57"/>
  <c r="O3064" i="57"/>
  <c r="O3201" i="57" s="1"/>
  <c r="Q3530" i="57" s="1"/>
  <c r="O3016" i="57"/>
  <c r="O3400" i="57"/>
  <c r="O3415" i="57" s="1"/>
  <c r="Q3715" i="57" s="1"/>
  <c r="O3043" i="57"/>
  <c r="O3189" i="57" s="1"/>
  <c r="Q3488" i="57" s="1"/>
  <c r="O2961" i="57"/>
  <c r="O3133" i="57" s="1"/>
  <c r="O3041" i="57"/>
  <c r="O3187" i="57" s="1"/>
  <c r="Q3486" i="57" s="1"/>
  <c r="O3004" i="57"/>
  <c r="O3159" i="57" s="1"/>
  <c r="Q3437" i="57" s="1"/>
  <c r="O2970" i="57"/>
  <c r="O3142" i="57" s="1"/>
  <c r="O3003" i="57"/>
  <c r="O3158" i="57" s="1"/>
  <c r="Q3436" i="57" s="1"/>
  <c r="O3396" i="57"/>
  <c r="O3411" i="57" s="1"/>
  <c r="Q3707" i="57" s="1"/>
  <c r="O2958" i="57"/>
  <c r="O3130" i="57" s="1"/>
  <c r="O3009" i="57"/>
  <c r="O3164" i="57" s="1"/>
  <c r="Q3442" i="57" s="1"/>
  <c r="O3015" i="57"/>
  <c r="O3022" i="57"/>
  <c r="Q3463" i="57" s="1"/>
  <c r="O3065" i="57"/>
  <c r="O3202" i="57" s="1"/>
  <c r="Q3531" i="57" s="1"/>
  <c r="O2957" i="57"/>
  <c r="O3129" i="57" s="1"/>
  <c r="O3042" i="57"/>
  <c r="O3188" i="57" s="1"/>
  <c r="Q3487" i="57" s="1"/>
  <c r="O3397" i="57"/>
  <c r="O3412" i="57" s="1"/>
  <c r="Q3709" i="57" s="1"/>
  <c r="O3005" i="57"/>
  <c r="O3160" i="57" s="1"/>
  <c r="Q3438" i="57" s="1"/>
  <c r="O2998" i="57"/>
  <c r="O3153" i="57" s="1"/>
  <c r="Q3431" i="57" s="1"/>
  <c r="O3040" i="57"/>
  <c r="O3186" i="57" s="1"/>
  <c r="Q3485" i="57" s="1"/>
  <c r="O3002" i="57"/>
  <c r="O3157" i="57" s="1"/>
  <c r="Q3435" i="57" s="1"/>
  <c r="O3006" i="57"/>
  <c r="O3161" i="57" s="1"/>
  <c r="Q3439" i="57" s="1"/>
  <c r="O3072" i="57"/>
  <c r="Q3550" i="57" s="1"/>
  <c r="O3395" i="57"/>
  <c r="O3410" i="57" s="1"/>
  <c r="Q3705" i="57" s="1"/>
  <c r="O2977" i="57"/>
  <c r="O2964" i="57"/>
  <c r="O3136" i="57" s="1"/>
  <c r="O3045" i="57"/>
  <c r="Q3498" i="57" s="1"/>
  <c r="O2985" i="57"/>
  <c r="O2971" i="57"/>
  <c r="O3143" i="57" s="1"/>
  <c r="O2976" i="57"/>
  <c r="Q3453" i="57" s="1"/>
  <c r="O3071" i="57"/>
  <c r="Q3547" i="57" s="1"/>
  <c r="O3034" i="57"/>
  <c r="O3180" i="57" s="1"/>
  <c r="Q3476" i="57" s="1"/>
  <c r="O3063" i="57"/>
  <c r="O3200" i="57" s="1"/>
  <c r="Q3529" i="57" s="1"/>
  <c r="O3021" i="57"/>
  <c r="Q3462" i="57" s="1"/>
  <c r="O3048" i="57"/>
  <c r="Q3503" i="57" s="1"/>
  <c r="O3036" i="57"/>
  <c r="O3182" i="57" s="1"/>
  <c r="Q3481" i="57" s="1"/>
  <c r="O3069" i="57"/>
  <c r="Q3543" i="57" s="1"/>
  <c r="O2955" i="57"/>
  <c r="O3127" i="57" s="1"/>
  <c r="O3038" i="57"/>
  <c r="O3184" i="57" s="1"/>
  <c r="Q3483" i="57" s="1"/>
  <c r="O3011" i="57"/>
  <c r="O3166" i="57" s="1"/>
  <c r="Q3444" i="57" s="1"/>
  <c r="O3010" i="57"/>
  <c r="O3165" i="57" s="1"/>
  <c r="Q3443" i="57" s="1"/>
  <c r="O3398" i="57"/>
  <c r="O3413" i="57" s="1"/>
  <c r="Q3711" i="57" s="1"/>
  <c r="O2980" i="57"/>
  <c r="Q3457" i="57" s="1"/>
  <c r="O3035" i="57"/>
  <c r="O3181" i="57" s="1"/>
  <c r="Q3479" i="57" s="1"/>
  <c r="O3000" i="57"/>
  <c r="O3155" i="57" s="1"/>
  <c r="Q3433" i="57" s="1"/>
  <c r="O2965" i="57"/>
  <c r="O3137" i="57" s="1"/>
  <c r="O3354" i="57" s="1"/>
  <c r="O3366" i="57" s="1"/>
  <c r="Q3695" i="57" s="1"/>
  <c r="O2962" i="57"/>
  <c r="O3134" i="57" s="1"/>
  <c r="O3049" i="57"/>
  <c r="Q3506" i="57" s="1"/>
  <c r="O3019" i="57"/>
  <c r="Q3458" i="57" s="1"/>
  <c r="O2973" i="57"/>
  <c r="Q3450" i="57" s="1"/>
  <c r="O3073" i="57"/>
  <c r="Q3551" i="57" s="1"/>
  <c r="O2956" i="57"/>
  <c r="O3128" i="57" s="1"/>
  <c r="O3018" i="57"/>
  <c r="Q3455" i="57" s="1"/>
  <c r="O3044" i="57"/>
  <c r="O2959" i="57"/>
  <c r="O3131" i="57" s="1"/>
  <c r="O3039" i="57"/>
  <c r="O3185" i="57" s="1"/>
  <c r="Q3484" i="57" s="1"/>
  <c r="O3017" i="57"/>
  <c r="Q3454" i="57" s="1"/>
  <c r="O2960" i="57"/>
  <c r="O3132" i="57" s="1"/>
  <c r="O2967" i="57"/>
  <c r="O3139" i="57" s="1"/>
  <c r="O3356" i="57" s="1"/>
  <c r="O3368" i="57" s="1"/>
  <c r="Q3697" i="57" s="1"/>
  <c r="O2984" i="57"/>
  <c r="Q3461" i="57" s="1"/>
  <c r="O3020" i="57"/>
  <c r="Q3459" i="57" s="1"/>
  <c r="O3001" i="57"/>
  <c r="O3156" i="57" s="1"/>
  <c r="Q3434" i="57" s="1"/>
  <c r="O2979" i="57"/>
  <c r="Q3456" i="57" s="1"/>
  <c r="O2986" i="57"/>
  <c r="O3037" i="57"/>
  <c r="O3183" i="57" s="1"/>
  <c r="Q3482" i="57" s="1"/>
  <c r="O3012" i="57"/>
  <c r="O2983" i="57"/>
  <c r="Q3460" i="57" s="1"/>
  <c r="Q3395" i="57"/>
  <c r="Q3410" i="57" s="1"/>
  <c r="S3705" i="57" s="1"/>
  <c r="Q2956" i="57"/>
  <c r="Q3128" i="57" s="1"/>
  <c r="Q2975" i="57"/>
  <c r="S3452" i="57" s="1"/>
  <c r="Q3068" i="57"/>
  <c r="S3542" i="57" s="1"/>
  <c r="Q3021" i="57"/>
  <c r="S3462" i="57" s="1"/>
  <c r="Q3397" i="57"/>
  <c r="Q3412" i="57" s="1"/>
  <c r="S3709" i="57" s="1"/>
  <c r="Q2968" i="57"/>
  <c r="Q3140" i="57" s="1"/>
  <c r="Q2963" i="57"/>
  <c r="Q3135" i="57" s="1"/>
  <c r="Q3064" i="57"/>
  <c r="Q3201" i="57" s="1"/>
  <c r="S3530" i="57" s="1"/>
  <c r="Q3004" i="57"/>
  <c r="Q3159" i="57" s="1"/>
  <c r="S3437" i="57" s="1"/>
  <c r="Q2962" i="57"/>
  <c r="Q3134" i="57" s="1"/>
  <c r="Q2969" i="57"/>
  <c r="Q3141" i="57" s="1"/>
  <c r="Q3036" i="57"/>
  <c r="Q3182" i="57" s="1"/>
  <c r="S3481" i="57" s="1"/>
  <c r="Q3049" i="57"/>
  <c r="S3506" i="57" s="1"/>
  <c r="Q2967" i="57"/>
  <c r="Q3139" i="57" s="1"/>
  <c r="Q3356" i="57" s="1"/>
  <c r="Q3368" i="57" s="1"/>
  <c r="S3697" i="57" s="1"/>
  <c r="Q3398" i="57"/>
  <c r="Q3413" i="57" s="1"/>
  <c r="S3711" i="57" s="1"/>
  <c r="Q3006" i="57"/>
  <c r="Q3161" i="57" s="1"/>
  <c r="S3439" i="57" s="1"/>
  <c r="Q3073" i="57"/>
  <c r="S3551" i="57" s="1"/>
  <c r="Q2974" i="57"/>
  <c r="S3451" i="57" s="1"/>
  <c r="Q3042" i="57"/>
  <c r="Q3188" i="57" s="1"/>
  <c r="S3487" i="57" s="1"/>
  <c r="Q3003" i="57"/>
  <c r="Q3158" i="57" s="1"/>
  <c r="S3436" i="57" s="1"/>
  <c r="Q3007" i="57"/>
  <c r="Q3162" i="57" s="1"/>
  <c r="S3440" i="57" s="1"/>
  <c r="Q3039" i="57"/>
  <c r="Q3185" i="57" s="1"/>
  <c r="S3484" i="57" s="1"/>
  <c r="Q2999" i="57"/>
  <c r="Q3154" i="57" s="1"/>
  <c r="S3432" i="57" s="1"/>
  <c r="Q2978" i="57"/>
  <c r="Q3085" i="57"/>
  <c r="Q3013" i="57"/>
  <c r="Q3038" i="57"/>
  <c r="Q3184" i="57" s="1"/>
  <c r="S3483" i="57" s="1"/>
  <c r="Q3071" i="57"/>
  <c r="S3547" i="57" s="1"/>
  <c r="Q2982" i="57"/>
  <c r="Q2985" i="57"/>
  <c r="Q2983" i="57"/>
  <c r="S3460" i="57" s="1"/>
  <c r="Q3010" i="57"/>
  <c r="Q3165" i="57" s="1"/>
  <c r="S3443" i="57" s="1"/>
  <c r="Q3396" i="57"/>
  <c r="Q3411" i="57" s="1"/>
  <c r="S3707" i="57" s="1"/>
  <c r="Q2958" i="57"/>
  <c r="Q3130" i="57" s="1"/>
  <c r="Q2959" i="57"/>
  <c r="Q3131" i="57" s="1"/>
  <c r="Q3070" i="57"/>
  <c r="S3546" i="57" s="1"/>
  <c r="Q3045" i="57"/>
  <c r="S3498" i="57" s="1"/>
  <c r="Q3044" i="57"/>
  <c r="Q2984" i="57"/>
  <c r="S3461" i="57" s="1"/>
  <c r="Q3015" i="57"/>
  <c r="Q3019" i="57"/>
  <c r="S3458" i="57" s="1"/>
  <c r="Q3012" i="57"/>
  <c r="Q3065" i="57"/>
  <c r="Q3202" i="57" s="1"/>
  <c r="S3531" i="57" s="1"/>
  <c r="Q3001" i="57"/>
  <c r="Q3156" i="57" s="1"/>
  <c r="S3434" i="57" s="1"/>
  <c r="Q3040" i="57"/>
  <c r="Q3186" i="57" s="1"/>
  <c r="S3485" i="57" s="1"/>
  <c r="Q3008" i="57"/>
  <c r="Q3163" i="57" s="1"/>
  <c r="S3441" i="57" s="1"/>
  <c r="Q2964" i="57"/>
  <c r="Q3136" i="57" s="1"/>
  <c r="Q2973" i="57"/>
  <c r="S3450" i="57" s="1"/>
  <c r="Q3066" i="57"/>
  <c r="Q3203" i="57" s="1"/>
  <c r="S3532" i="57" s="1"/>
  <c r="Q3005" i="57"/>
  <c r="Q3160" i="57" s="1"/>
  <c r="S3438" i="57" s="1"/>
  <c r="Q3041" i="57"/>
  <c r="Q3187" i="57" s="1"/>
  <c r="S3486" i="57" s="1"/>
  <c r="Q2976" i="57"/>
  <c r="S3453" i="57" s="1"/>
  <c r="Q2961" i="57"/>
  <c r="Q3133" i="57" s="1"/>
  <c r="Q3014" i="57"/>
  <c r="Q3047" i="57"/>
  <c r="S3502" i="57" s="1"/>
  <c r="Q2986" i="57"/>
  <c r="Q2954" i="57"/>
  <c r="Q3126" i="57" s="1"/>
  <c r="Q3017" i="57"/>
  <c r="S3454" i="57" s="1"/>
  <c r="Q3009" i="57"/>
  <c r="Q3164" i="57" s="1"/>
  <c r="S3442" i="57" s="1"/>
  <c r="Q3399" i="57"/>
  <c r="Q3414" i="57" s="1"/>
  <c r="S3713" i="57" s="1"/>
  <c r="Q3016" i="57"/>
  <c r="Q2966" i="57"/>
  <c r="Q3138" i="57" s="1"/>
  <c r="Q3355" i="57" s="1"/>
  <c r="Q3367" i="57" s="1"/>
  <c r="S3696" i="57" s="1"/>
  <c r="Q2977" i="57"/>
  <c r="Q2955" i="57"/>
  <c r="Q3127" i="57" s="1"/>
  <c r="Q3018" i="57"/>
  <c r="S3455" i="57" s="1"/>
  <c r="Q3046" i="57"/>
  <c r="S3499" i="57" s="1"/>
  <c r="Q2998" i="57"/>
  <c r="Q3153" i="57" s="1"/>
  <c r="S3431" i="57" s="1"/>
  <c r="Q3034" i="57"/>
  <c r="Q3180" i="57" s="1"/>
  <c r="S3476" i="57" s="1"/>
  <c r="Q3035" i="57"/>
  <c r="Q3181" i="57" s="1"/>
  <c r="S3479" i="57" s="1"/>
  <c r="Q3400" i="57"/>
  <c r="Q3415" i="57" s="1"/>
  <c r="S3715" i="57" s="1"/>
  <c r="Q2960" i="57"/>
  <c r="Q3132" i="57" s="1"/>
  <c r="Q2965" i="57"/>
  <c r="Q3137" i="57" s="1"/>
  <c r="Q3354" i="57" s="1"/>
  <c r="Q3366" i="57" s="1"/>
  <c r="S3695" i="57" s="1"/>
  <c r="Q3011" i="57"/>
  <c r="Q3166" i="57" s="1"/>
  <c r="S3444" i="57" s="1"/>
  <c r="Q3022" i="57"/>
  <c r="S3463" i="57" s="1"/>
  <c r="Q3020" i="57"/>
  <c r="S3459" i="57" s="1"/>
  <c r="Q2972" i="57"/>
  <c r="Q3144" i="57" s="1"/>
  <c r="Q2979" i="57"/>
  <c r="S3456" i="57" s="1"/>
  <c r="Q3037" i="57"/>
  <c r="Q3183" i="57" s="1"/>
  <c r="S3482" i="57" s="1"/>
  <c r="Q3043" i="57"/>
  <c r="Q3189" i="57" s="1"/>
  <c r="S3488" i="57" s="1"/>
  <c r="Q2980" i="57"/>
  <c r="S3457" i="57" s="1"/>
  <c r="Q2981" i="57"/>
  <c r="Q3067" i="57"/>
  <c r="Q3048" i="57"/>
  <c r="S3503" i="57" s="1"/>
  <c r="Q2970" i="57"/>
  <c r="Q3142" i="57" s="1"/>
  <c r="Q3050" i="57"/>
  <c r="S3507" i="57" s="1"/>
  <c r="Q2957" i="57"/>
  <c r="Q3129" i="57" s="1"/>
  <c r="Q2971" i="57"/>
  <c r="Q3143" i="57" s="1"/>
  <c r="Q3072" i="57"/>
  <c r="S3550" i="57" s="1"/>
  <c r="Q3069" i="57"/>
  <c r="S3543" i="57" s="1"/>
  <c r="Q3000" i="57"/>
  <c r="Q3155" i="57" s="1"/>
  <c r="S3433" i="57" s="1"/>
  <c r="Q3062" i="57"/>
  <c r="Q3199" i="57" s="1"/>
  <c r="S3528" i="57" s="1"/>
  <c r="Q3002" i="57"/>
  <c r="Q3157" i="57" s="1"/>
  <c r="S3435" i="57" s="1"/>
  <c r="Q3063" i="57"/>
  <c r="Q3200" i="57" s="1"/>
  <c r="S3529" i="57" s="1"/>
  <c r="M3537" i="57"/>
  <c r="K3204" i="57"/>
  <c r="M3449" i="57"/>
  <c r="K3171" i="57"/>
  <c r="K3218" i="57"/>
  <c r="K3231" i="57"/>
  <c r="K3224" i="57"/>
  <c r="K3109" i="57"/>
  <c r="K3332" i="57" s="1"/>
  <c r="M3573" i="57" s="1"/>
  <c r="K3229" i="57"/>
  <c r="M3656" i="57" s="1"/>
  <c r="K3225" i="57"/>
  <c r="K3103" i="57"/>
  <c r="K3327" i="57" s="1"/>
  <c r="M3567" i="57" s="1"/>
  <c r="K3217" i="57"/>
  <c r="K3230" i="57"/>
  <c r="K3219" i="57"/>
  <c r="K3234" i="57"/>
  <c r="K3223" i="57"/>
  <c r="K3112" i="57"/>
  <c r="M3616" i="57" s="1"/>
  <c r="K3115" i="57"/>
  <c r="K3099" i="57"/>
  <c r="K3324" i="57" s="1"/>
  <c r="M3563" i="57" s="1"/>
  <c r="K3104" i="57"/>
  <c r="K3116" i="57"/>
  <c r="K3114" i="57"/>
  <c r="K3111" i="57"/>
  <c r="M3615" i="57" s="1"/>
  <c r="K3102" i="57"/>
  <c r="K3326" i="57" s="1"/>
  <c r="M3566" i="57" s="1"/>
  <c r="K3228" i="57"/>
  <c r="M3655" i="57" s="1"/>
  <c r="K3110" i="57"/>
  <c r="M3614" i="57" s="1"/>
  <c r="K3101" i="57"/>
  <c r="K3106" i="57"/>
  <c r="K3329" i="57" s="1"/>
  <c r="M3570" i="57" s="1"/>
  <c r="K3222" i="57"/>
  <c r="K3108" i="57"/>
  <c r="K3331" i="57" s="1"/>
  <c r="M3572" i="57" s="1"/>
  <c r="K3113" i="57"/>
  <c r="K3216" i="57"/>
  <c r="K3227" i="57"/>
  <c r="M3654" i="57" s="1"/>
  <c r="K3100" i="57"/>
  <c r="K3325" i="57" s="1"/>
  <c r="M3564" i="57" s="1"/>
  <c r="K3233" i="57"/>
  <c r="K3117" i="57"/>
  <c r="K3220" i="57"/>
  <c r="K3107" i="57"/>
  <c r="K3330" i="57" s="1"/>
  <c r="M3571" i="57" s="1"/>
  <c r="K3226" i="57"/>
  <c r="K3232" i="57"/>
  <c r="K3221" i="57"/>
  <c r="K3105" i="57"/>
  <c r="K3328" i="57" s="1"/>
  <c r="M3569" i="57" s="1"/>
  <c r="S3400" i="57"/>
  <c r="S3415" i="57" s="1"/>
  <c r="U3715" i="57" s="1"/>
  <c r="S2963" i="57"/>
  <c r="S3135" i="57" s="1"/>
  <c r="S2972" i="57"/>
  <c r="S3144" i="57" s="1"/>
  <c r="S2954" i="57"/>
  <c r="S3126" i="57" s="1"/>
  <c r="S3014" i="57"/>
  <c r="S3010" i="57"/>
  <c r="S3165" i="57" s="1"/>
  <c r="U3443" i="57" s="1"/>
  <c r="S2977" i="57"/>
  <c r="S3015" i="57"/>
  <c r="S3072" i="57"/>
  <c r="U3550" i="57" s="1"/>
  <c r="S2971" i="57"/>
  <c r="S3143" i="57" s="1"/>
  <c r="S3398" i="57"/>
  <c r="S3413" i="57" s="1"/>
  <c r="U3711" i="57" s="1"/>
  <c r="S2960" i="57"/>
  <c r="S3132" i="57" s="1"/>
  <c r="S2982" i="57"/>
  <c r="S3041" i="57"/>
  <c r="S3187" i="57" s="1"/>
  <c r="U3486" i="57" s="1"/>
  <c r="S3005" i="57"/>
  <c r="S3160" i="57" s="1"/>
  <c r="U3438" i="57" s="1"/>
  <c r="S3397" i="57"/>
  <c r="S3412" i="57" s="1"/>
  <c r="U3709" i="57" s="1"/>
  <c r="S3011" i="57"/>
  <c r="S3166" i="57" s="1"/>
  <c r="U3444" i="57" s="1"/>
  <c r="S3009" i="57"/>
  <c r="S3164" i="57" s="1"/>
  <c r="U3442" i="57" s="1"/>
  <c r="S3012" i="57"/>
  <c r="S3036" i="57"/>
  <c r="S3182" i="57" s="1"/>
  <c r="U3481" i="57" s="1"/>
  <c r="S3003" i="57"/>
  <c r="S3158" i="57" s="1"/>
  <c r="U3436" i="57" s="1"/>
  <c r="S2998" i="57"/>
  <c r="S3153" i="57" s="1"/>
  <c r="U3431" i="57" s="1"/>
  <c r="S3062" i="57"/>
  <c r="S3199" i="57" s="1"/>
  <c r="U3528" i="57" s="1"/>
  <c r="S2999" i="57"/>
  <c r="S3154" i="57" s="1"/>
  <c r="U3432" i="57" s="1"/>
  <c r="S3034" i="57"/>
  <c r="S3180" i="57" s="1"/>
  <c r="U3476" i="57" s="1"/>
  <c r="S2983" i="57"/>
  <c r="U3460" i="57" s="1"/>
  <c r="S2959" i="57"/>
  <c r="S3131" i="57" s="1"/>
  <c r="S2964" i="57"/>
  <c r="S3136" i="57" s="1"/>
  <c r="S2958" i="57"/>
  <c r="S3130" i="57" s="1"/>
  <c r="S3066" i="57"/>
  <c r="S3203" i="57" s="1"/>
  <c r="U3532" i="57" s="1"/>
  <c r="S3064" i="57"/>
  <c r="S3201" i="57" s="1"/>
  <c r="U3530" i="57" s="1"/>
  <c r="S3085" i="57"/>
  <c r="S3017" i="57"/>
  <c r="U3454" i="57" s="1"/>
  <c r="S3395" i="57"/>
  <c r="S3410" i="57" s="1"/>
  <c r="U3705" i="57" s="1"/>
  <c r="S2967" i="57"/>
  <c r="S3139" i="57" s="1"/>
  <c r="S3356" i="57" s="1"/>
  <c r="S3368" i="57" s="1"/>
  <c r="U3697" i="57" s="1"/>
  <c r="S2984" i="57"/>
  <c r="U3461" i="57" s="1"/>
  <c r="S2986" i="57"/>
  <c r="S3022" i="57"/>
  <c r="U3463" i="57" s="1"/>
  <c r="S3038" i="57"/>
  <c r="S3184" i="57" s="1"/>
  <c r="U3483" i="57" s="1"/>
  <c r="S3065" i="57"/>
  <c r="S3202" i="57" s="1"/>
  <c r="U3531" i="57" s="1"/>
  <c r="S2979" i="57"/>
  <c r="U3456" i="57" s="1"/>
  <c r="S3016" i="57"/>
  <c r="S3067" i="57"/>
  <c r="S3068" i="57"/>
  <c r="U3542" i="57" s="1"/>
  <c r="S3048" i="57"/>
  <c r="U3503" i="57" s="1"/>
  <c r="S3008" i="57"/>
  <c r="S3163" i="57" s="1"/>
  <c r="U3441" i="57" s="1"/>
  <c r="S3040" i="57"/>
  <c r="S3186" i="57" s="1"/>
  <c r="U3485" i="57" s="1"/>
  <c r="S3007" i="57"/>
  <c r="S3162" i="57" s="1"/>
  <c r="U3440" i="57" s="1"/>
  <c r="S2973" i="57"/>
  <c r="U3450" i="57" s="1"/>
  <c r="S2955" i="57"/>
  <c r="S3127" i="57" s="1"/>
  <c r="S2956" i="57"/>
  <c r="S3128" i="57" s="1"/>
  <c r="S3073" i="57"/>
  <c r="U3551" i="57" s="1"/>
  <c r="S3049" i="57"/>
  <c r="U3506" i="57" s="1"/>
  <c r="S3050" i="57"/>
  <c r="U3507" i="57" s="1"/>
  <c r="S3018" i="57"/>
  <c r="U3455" i="57" s="1"/>
  <c r="S3069" i="57"/>
  <c r="U3543" i="57" s="1"/>
  <c r="S2981" i="57"/>
  <c r="S2961" i="57"/>
  <c r="S3133" i="57" s="1"/>
  <c r="S2976" i="57"/>
  <c r="U3453" i="57" s="1"/>
  <c r="S2962" i="57"/>
  <c r="S3134" i="57" s="1"/>
  <c r="S3044" i="57"/>
  <c r="S3019" i="57"/>
  <c r="U3458" i="57" s="1"/>
  <c r="S3013" i="57"/>
  <c r="S2965" i="57"/>
  <c r="S3137" i="57" s="1"/>
  <c r="S3354" i="57" s="1"/>
  <c r="S3366" i="57" s="1"/>
  <c r="U3695" i="57" s="1"/>
  <c r="S3037" i="57"/>
  <c r="S3183" i="57" s="1"/>
  <c r="U3482" i="57" s="1"/>
  <c r="S3006" i="57"/>
  <c r="S3161" i="57" s="1"/>
  <c r="U3439" i="57" s="1"/>
  <c r="S3004" i="57"/>
  <c r="S3159" i="57" s="1"/>
  <c r="U3437" i="57" s="1"/>
  <c r="S3071" i="57"/>
  <c r="U3547" i="57" s="1"/>
  <c r="S3035" i="57"/>
  <c r="S3181" i="57" s="1"/>
  <c r="U3479" i="57" s="1"/>
  <c r="S3002" i="57"/>
  <c r="S3157" i="57" s="1"/>
  <c r="U3435" i="57" s="1"/>
  <c r="S3399" i="57"/>
  <c r="S3414" i="57" s="1"/>
  <c r="U3713" i="57" s="1"/>
  <c r="S2969" i="57"/>
  <c r="S3141" i="57" s="1"/>
  <c r="S2980" i="57"/>
  <c r="U3457" i="57" s="1"/>
  <c r="S2970" i="57"/>
  <c r="S3142" i="57" s="1"/>
  <c r="S3047" i="57"/>
  <c r="U3502" i="57" s="1"/>
  <c r="S3046" i="57"/>
  <c r="U3499" i="57" s="1"/>
  <c r="S3396" i="57"/>
  <c r="S3411" i="57" s="1"/>
  <c r="U3707" i="57" s="1"/>
  <c r="S3043" i="57"/>
  <c r="S3189" i="57" s="1"/>
  <c r="U3488" i="57" s="1"/>
  <c r="S3042" i="57"/>
  <c r="S3188" i="57" s="1"/>
  <c r="U3487" i="57" s="1"/>
  <c r="S2975" i="57"/>
  <c r="U3452" i="57" s="1"/>
  <c r="S2957" i="57"/>
  <c r="S3129" i="57" s="1"/>
  <c r="S2968" i="57"/>
  <c r="S3140" i="57" s="1"/>
  <c r="S2974" i="57"/>
  <c r="U3451" i="57" s="1"/>
  <c r="S3070" i="57"/>
  <c r="U3546" i="57" s="1"/>
  <c r="S3045" i="57"/>
  <c r="U3498" i="57" s="1"/>
  <c r="S3021" i="57"/>
  <c r="U3462" i="57" s="1"/>
  <c r="S2966" i="57"/>
  <c r="S3138" i="57" s="1"/>
  <c r="S3355" i="57" s="1"/>
  <c r="S3367" i="57" s="1"/>
  <c r="U3696" i="57" s="1"/>
  <c r="S2978" i="57"/>
  <c r="S2985" i="57"/>
  <c r="S3020" i="57"/>
  <c r="U3459" i="57" s="1"/>
  <c r="S3001" i="57"/>
  <c r="S3156" i="57" s="1"/>
  <c r="U3434" i="57" s="1"/>
  <c r="S3000" i="57"/>
  <c r="S3155" i="57" s="1"/>
  <c r="U3433" i="57" s="1"/>
  <c r="S3063" i="57"/>
  <c r="S3200" i="57" s="1"/>
  <c r="U3529" i="57" s="1"/>
  <c r="S3039" i="57"/>
  <c r="S3185" i="57" s="1"/>
  <c r="U3484" i="57" s="1"/>
  <c r="D2770" i="57"/>
  <c r="V3587" i="57"/>
  <c r="E3755" i="57" s="1"/>
  <c r="V3590" i="57"/>
  <c r="E3758" i="57" s="1"/>
  <c r="D2773" i="57"/>
  <c r="D2750" i="57"/>
  <c r="V3567" i="57"/>
  <c r="V3594" i="57"/>
  <c r="E3762" i="57" s="1"/>
  <c r="D2777" i="57"/>
  <c r="V3537" i="57"/>
  <c r="V3493" i="57"/>
  <c r="V3449" i="57"/>
  <c r="D2762" i="57"/>
  <c r="V3589" i="57"/>
  <c r="E3757" i="57" s="1"/>
  <c r="D2772" i="57"/>
  <c r="D2751" i="57"/>
  <c r="K3169" i="57"/>
  <c r="M3447" i="57"/>
  <c r="V3576" i="57"/>
  <c r="E3744" i="57" s="1"/>
  <c r="D2759" i="57"/>
  <c r="V3575" i="57"/>
  <c r="E3743" i="57" s="1"/>
  <c r="D2758" i="57"/>
  <c r="D2766" i="57"/>
  <c r="V3583" i="57"/>
  <c r="E3751" i="57" s="1"/>
  <c r="V3593" i="57"/>
  <c r="E3761" i="57" s="1"/>
  <c r="D2776" i="57"/>
  <c r="V3592" i="57"/>
  <c r="E3760" i="57" s="1"/>
  <c r="D2775" i="57"/>
  <c r="D2748" i="57"/>
  <c r="D2753" i="57"/>
  <c r="V3570" i="57"/>
  <c r="V3595" i="57"/>
  <c r="E3763" i="57" s="1"/>
  <c r="D2778" i="57"/>
  <c r="L2978" i="57"/>
  <c r="L3085" i="57"/>
  <c r="L2971" i="57"/>
  <c r="L3143" i="57" s="1"/>
  <c r="L3018" i="57"/>
  <c r="N3455" i="57" s="1"/>
  <c r="L2972" i="57"/>
  <c r="L3144" i="57" s="1"/>
  <c r="L2983" i="57"/>
  <c r="N3460" i="57" s="1"/>
  <c r="L3072" i="57"/>
  <c r="N3550" i="57" s="1"/>
  <c r="L3012" i="57"/>
  <c r="L2986" i="57"/>
  <c r="L2954" i="57"/>
  <c r="L3126" i="57" s="1"/>
  <c r="L2963" i="57"/>
  <c r="L3135" i="57" s="1"/>
  <c r="L2974" i="57"/>
  <c r="N3451" i="57" s="1"/>
  <c r="L3068" i="57"/>
  <c r="N3542" i="57" s="1"/>
  <c r="L3396" i="57"/>
  <c r="L3411" i="57" s="1"/>
  <c r="N3707" i="57" s="1"/>
  <c r="L3014" i="57"/>
  <c r="L2984" i="57"/>
  <c r="N3461" i="57" s="1"/>
  <c r="L3020" i="57"/>
  <c r="N3459" i="57" s="1"/>
  <c r="L3071" i="57"/>
  <c r="N3547" i="57" s="1"/>
  <c r="L3011" i="57"/>
  <c r="L3166" i="57" s="1"/>
  <c r="N3444" i="57" s="1"/>
  <c r="L3043" i="57"/>
  <c r="L3189" i="57" s="1"/>
  <c r="N3488" i="57" s="1"/>
  <c r="L3001" i="57"/>
  <c r="L3156" i="57" s="1"/>
  <c r="N3434" i="57" s="1"/>
  <c r="L3002" i="57"/>
  <c r="L3157" i="57" s="1"/>
  <c r="N3435" i="57" s="1"/>
  <c r="L3063" i="57"/>
  <c r="L3200" i="57" s="1"/>
  <c r="N3529" i="57" s="1"/>
  <c r="L2964" i="57"/>
  <c r="L3136" i="57" s="1"/>
  <c r="L2973" i="57"/>
  <c r="N3450" i="57" s="1"/>
  <c r="L3064" i="57"/>
  <c r="L3201" i="57" s="1"/>
  <c r="N3530" i="57" s="1"/>
  <c r="L3400" i="57"/>
  <c r="L3415" i="57" s="1"/>
  <c r="N3715" i="57" s="1"/>
  <c r="L2968" i="57"/>
  <c r="L3140" i="57" s="1"/>
  <c r="L2967" i="57"/>
  <c r="L3139" i="57" s="1"/>
  <c r="L3356" i="57" s="1"/>
  <c r="L3368" i="57" s="1"/>
  <c r="N3697" i="57" s="1"/>
  <c r="L3046" i="57"/>
  <c r="N3499" i="57" s="1"/>
  <c r="L3013" i="57"/>
  <c r="L2980" i="57"/>
  <c r="N3457" i="57" s="1"/>
  <c r="L2981" i="57"/>
  <c r="L2955" i="57"/>
  <c r="L3127" i="57" s="1"/>
  <c r="L3048" i="57"/>
  <c r="N3503" i="57" s="1"/>
  <c r="L3069" i="57"/>
  <c r="N3543" i="57" s="1"/>
  <c r="L2970" i="57"/>
  <c r="L3142" i="57" s="1"/>
  <c r="L3038" i="57"/>
  <c r="L3184" i="57" s="1"/>
  <c r="N3483" i="57" s="1"/>
  <c r="L2966" i="57"/>
  <c r="L3138" i="57" s="1"/>
  <c r="L3355" i="57" s="1"/>
  <c r="L3367" i="57" s="1"/>
  <c r="N3696" i="57" s="1"/>
  <c r="L3041" i="57"/>
  <c r="L3187" i="57" s="1"/>
  <c r="N3486" i="57" s="1"/>
  <c r="L3066" i="57"/>
  <c r="L3203" i="57" s="1"/>
  <c r="N3532" i="57" s="1"/>
  <c r="L3010" i="57"/>
  <c r="L3165" i="57" s="1"/>
  <c r="N3443" i="57" s="1"/>
  <c r="L3022" i="57"/>
  <c r="N3463" i="57" s="1"/>
  <c r="L2998" i="57"/>
  <c r="L3153" i="57" s="1"/>
  <c r="N3431" i="57" s="1"/>
  <c r="L3007" i="57"/>
  <c r="L3162" i="57" s="1"/>
  <c r="N3440" i="57" s="1"/>
  <c r="L3039" i="57"/>
  <c r="L3185" i="57" s="1"/>
  <c r="N3484" i="57" s="1"/>
  <c r="L3399" i="57"/>
  <c r="L3414" i="57" s="1"/>
  <c r="N3713" i="57" s="1"/>
  <c r="L2960" i="57"/>
  <c r="L3132" i="57" s="1"/>
  <c r="L2965" i="57"/>
  <c r="L3137" i="57" s="1"/>
  <c r="L3354" i="57" s="1"/>
  <c r="L3366" i="57" s="1"/>
  <c r="N3695" i="57" s="1"/>
  <c r="L3004" i="57"/>
  <c r="L3159" i="57" s="1"/>
  <c r="N3437" i="57" s="1"/>
  <c r="L2982" i="57"/>
  <c r="L2985" i="57"/>
  <c r="L3009" i="57"/>
  <c r="L3164" i="57" s="1"/>
  <c r="N3442" i="57" s="1"/>
  <c r="L3017" i="57"/>
  <c r="N3454" i="57" s="1"/>
  <c r="L3067" i="57"/>
  <c r="L2962" i="57"/>
  <c r="L3134" i="57" s="1"/>
  <c r="L2969" i="57"/>
  <c r="L3141" i="57" s="1"/>
  <c r="L3044" i="57"/>
  <c r="L3047" i="57"/>
  <c r="N3502" i="57" s="1"/>
  <c r="L3016" i="57"/>
  <c r="L3037" i="57"/>
  <c r="L3183" i="57" s="1"/>
  <c r="N3482" i="57" s="1"/>
  <c r="L3015" i="57"/>
  <c r="L2957" i="57"/>
  <c r="L3129" i="57" s="1"/>
  <c r="L3398" i="57"/>
  <c r="L3413" i="57" s="1"/>
  <c r="N3711" i="57" s="1"/>
  <c r="L2956" i="57"/>
  <c r="L3128" i="57" s="1"/>
  <c r="L2979" i="57"/>
  <c r="N3456" i="57" s="1"/>
  <c r="L3036" i="57"/>
  <c r="L3182" i="57" s="1"/>
  <c r="N3481" i="57" s="1"/>
  <c r="L2976" i="57"/>
  <c r="N3453" i="57" s="1"/>
  <c r="L2961" i="57"/>
  <c r="L3133" i="57" s="1"/>
  <c r="L3045" i="57"/>
  <c r="N3498" i="57" s="1"/>
  <c r="L3006" i="57"/>
  <c r="L3161" i="57" s="1"/>
  <c r="N3439" i="57" s="1"/>
  <c r="L3395" i="57"/>
  <c r="L3410" i="57" s="1"/>
  <c r="N3705" i="57" s="1"/>
  <c r="L2958" i="57"/>
  <c r="L3130" i="57" s="1"/>
  <c r="L2959" i="57"/>
  <c r="L3131" i="57" s="1"/>
  <c r="L3021" i="57"/>
  <c r="N3462" i="57" s="1"/>
  <c r="L3049" i="57"/>
  <c r="N3506" i="57" s="1"/>
  <c r="L3005" i="57"/>
  <c r="L3160" i="57" s="1"/>
  <c r="N3438" i="57" s="1"/>
  <c r="L3019" i="57"/>
  <c r="N3458" i="57" s="1"/>
  <c r="L3397" i="57"/>
  <c r="L3412" i="57" s="1"/>
  <c r="N3709" i="57" s="1"/>
  <c r="L3070" i="57"/>
  <c r="N3546" i="57" s="1"/>
  <c r="L2975" i="57"/>
  <c r="N3452" i="57" s="1"/>
  <c r="L3050" i="57"/>
  <c r="N3507" i="57" s="1"/>
  <c r="L3073" i="57"/>
  <c r="N3551" i="57" s="1"/>
  <c r="L3000" i="57"/>
  <c r="L3155" i="57" s="1"/>
  <c r="N3433" i="57" s="1"/>
  <c r="L3035" i="57"/>
  <c r="L3181" i="57" s="1"/>
  <c r="N3479" i="57" s="1"/>
  <c r="L2999" i="57"/>
  <c r="L3154" i="57" s="1"/>
  <c r="N3432" i="57" s="1"/>
  <c r="L3034" i="57"/>
  <c r="L3180" i="57" s="1"/>
  <c r="N3476" i="57" s="1"/>
  <c r="L2977" i="57"/>
  <c r="L3062" i="57"/>
  <c r="L3199" i="57" s="1"/>
  <c r="N3528" i="57" s="1"/>
  <c r="L3065" i="57"/>
  <c r="L3202" i="57" s="1"/>
  <c r="N3531" i="57" s="1"/>
  <c r="L3040" i="57"/>
  <c r="L3186" i="57" s="1"/>
  <c r="N3485" i="57" s="1"/>
  <c r="L3042" i="57"/>
  <c r="L3188" i="57" s="1"/>
  <c r="N3487" i="57" s="1"/>
  <c r="L3008" i="57"/>
  <c r="L3163" i="57" s="1"/>
  <c r="N3441" i="57" s="1"/>
  <c r="L3003" i="57"/>
  <c r="L3158" i="57" s="1"/>
  <c r="N3436" i="57" s="1"/>
  <c r="M2962" i="57"/>
  <c r="M3134" i="57" s="1"/>
  <c r="M2955" i="57"/>
  <c r="M3127" i="57" s="1"/>
  <c r="M3064" i="57"/>
  <c r="M3201" i="57" s="1"/>
  <c r="O3530" i="57" s="1"/>
  <c r="M3046" i="57"/>
  <c r="O3499" i="57" s="1"/>
  <c r="M3044" i="57"/>
  <c r="M3070" i="57"/>
  <c r="O3546" i="57" s="1"/>
  <c r="M2974" i="57"/>
  <c r="O3451" i="57" s="1"/>
  <c r="M2971" i="57"/>
  <c r="M3143" i="57" s="1"/>
  <c r="M3072" i="57"/>
  <c r="O3550" i="57" s="1"/>
  <c r="M3036" i="57"/>
  <c r="M3182" i="57" s="1"/>
  <c r="O3481" i="57" s="1"/>
  <c r="M3400" i="57"/>
  <c r="M3415" i="57" s="1"/>
  <c r="O3715" i="57" s="1"/>
  <c r="M2960" i="57"/>
  <c r="M3132" i="57" s="1"/>
  <c r="M2981" i="57"/>
  <c r="M3021" i="57"/>
  <c r="O3462" i="57" s="1"/>
  <c r="M2972" i="57"/>
  <c r="M3144" i="57" s="1"/>
  <c r="M3043" i="57"/>
  <c r="M3189" i="57" s="1"/>
  <c r="O3488" i="57" s="1"/>
  <c r="M2983" i="57"/>
  <c r="O3460" i="57" s="1"/>
  <c r="M2976" i="57"/>
  <c r="O3453" i="57" s="1"/>
  <c r="M3037" i="57"/>
  <c r="M3183" i="57" s="1"/>
  <c r="O3482" i="57" s="1"/>
  <c r="M3005" i="57"/>
  <c r="M3160" i="57" s="1"/>
  <c r="O3438" i="57" s="1"/>
  <c r="M3001" i="57"/>
  <c r="M3156" i="57" s="1"/>
  <c r="O3434" i="57" s="1"/>
  <c r="M3396" i="57"/>
  <c r="M3411" i="57" s="1"/>
  <c r="O3707" i="57" s="1"/>
  <c r="M2958" i="57"/>
  <c r="M3130" i="57" s="1"/>
  <c r="M2985" i="57"/>
  <c r="M3069" i="57"/>
  <c r="O3543" i="57" s="1"/>
  <c r="M3016" i="57"/>
  <c r="M3067" i="57"/>
  <c r="M3398" i="57"/>
  <c r="M3413" i="57" s="1"/>
  <c r="O3711" i="57" s="1"/>
  <c r="M2970" i="57"/>
  <c r="M3142" i="57" s="1"/>
  <c r="M2965" i="57"/>
  <c r="M3137" i="57" s="1"/>
  <c r="M3354" i="57" s="1"/>
  <c r="M3366" i="57" s="1"/>
  <c r="O3695" i="57" s="1"/>
  <c r="M3018" i="57"/>
  <c r="O3455" i="57" s="1"/>
  <c r="M3038" i="57"/>
  <c r="M3184" i="57" s="1"/>
  <c r="O3483" i="57" s="1"/>
  <c r="M3397" i="57"/>
  <c r="M3412" i="57" s="1"/>
  <c r="O3709" i="57" s="1"/>
  <c r="M2956" i="57"/>
  <c r="M3128" i="57" s="1"/>
  <c r="M2957" i="57"/>
  <c r="M3129" i="57" s="1"/>
  <c r="M3012" i="57"/>
  <c r="M2967" i="57"/>
  <c r="M3139" i="57" s="1"/>
  <c r="M3356" i="57" s="1"/>
  <c r="M3368" i="57" s="1"/>
  <c r="O3697" i="57" s="1"/>
  <c r="M3019" i="57"/>
  <c r="O3458" i="57" s="1"/>
  <c r="M3014" i="57"/>
  <c r="M2975" i="57"/>
  <c r="O3452" i="57" s="1"/>
  <c r="M3073" i="57"/>
  <c r="O3551" i="57" s="1"/>
  <c r="M2998" i="57"/>
  <c r="M3153" i="57" s="1"/>
  <c r="O3431" i="57" s="1"/>
  <c r="M2986" i="57"/>
  <c r="M2954" i="57"/>
  <c r="M3126" i="57" s="1"/>
  <c r="M2961" i="57"/>
  <c r="M3133" i="57" s="1"/>
  <c r="M3020" i="57"/>
  <c r="O3459" i="57" s="1"/>
  <c r="M3009" i="57"/>
  <c r="M3164" i="57" s="1"/>
  <c r="O3442" i="57" s="1"/>
  <c r="M3042" i="57"/>
  <c r="M3188" i="57" s="1"/>
  <c r="O3487" i="57" s="1"/>
  <c r="M3395" i="57"/>
  <c r="M3410" i="57" s="1"/>
  <c r="O3705" i="57" s="1"/>
  <c r="M2966" i="57"/>
  <c r="M3138" i="57" s="1"/>
  <c r="M3355" i="57" s="1"/>
  <c r="M3367" i="57" s="1"/>
  <c r="O3696" i="57" s="1"/>
  <c r="M2969" i="57"/>
  <c r="M3141" i="57" s="1"/>
  <c r="M3010" i="57"/>
  <c r="M3165" i="57" s="1"/>
  <c r="O3443" i="57" s="1"/>
  <c r="M3041" i="57"/>
  <c r="M3187" i="57" s="1"/>
  <c r="O3486" i="57" s="1"/>
  <c r="M2978" i="57"/>
  <c r="M3085" i="57"/>
  <c r="M3017" i="57"/>
  <c r="O3454" i="57" s="1"/>
  <c r="M3047" i="57"/>
  <c r="O3502" i="57" s="1"/>
  <c r="M2968" i="57"/>
  <c r="M3140" i="57" s="1"/>
  <c r="M2977" i="57"/>
  <c r="M3066" i="57"/>
  <c r="M3203" i="57" s="1"/>
  <c r="O3532" i="57" s="1"/>
  <c r="M2973" i="57"/>
  <c r="O3450" i="57" s="1"/>
  <c r="M3022" i="57"/>
  <c r="O3463" i="57" s="1"/>
  <c r="M3003" i="57"/>
  <c r="M3158" i="57" s="1"/>
  <c r="O3436" i="57" s="1"/>
  <c r="M3063" i="57"/>
  <c r="M3200" i="57" s="1"/>
  <c r="O3529" i="57" s="1"/>
  <c r="M2980" i="57"/>
  <c r="O3457" i="57" s="1"/>
  <c r="M2963" i="57"/>
  <c r="M3135" i="57" s="1"/>
  <c r="M3013" i="57"/>
  <c r="M3015" i="57"/>
  <c r="M3048" i="57"/>
  <c r="O3503" i="57" s="1"/>
  <c r="M3065" i="57"/>
  <c r="M3202" i="57" s="1"/>
  <c r="O3531" i="57" s="1"/>
  <c r="M2984" i="57"/>
  <c r="O3461" i="57" s="1"/>
  <c r="M2979" i="57"/>
  <c r="O3456" i="57" s="1"/>
  <c r="M3004" i="57"/>
  <c r="M3159" i="57" s="1"/>
  <c r="O3437" i="57" s="1"/>
  <c r="M3011" i="57"/>
  <c r="M3166" i="57" s="1"/>
  <c r="O3444" i="57" s="1"/>
  <c r="M3006" i="57"/>
  <c r="M3161" i="57" s="1"/>
  <c r="O3439" i="57" s="1"/>
  <c r="M2964" i="57"/>
  <c r="M3136" i="57" s="1"/>
  <c r="M2959" i="57"/>
  <c r="M3131" i="57" s="1"/>
  <c r="M3049" i="57"/>
  <c r="O3506" i="57" s="1"/>
  <c r="M3071" i="57"/>
  <c r="O3547" i="57" s="1"/>
  <c r="M3045" i="57"/>
  <c r="O3498" i="57" s="1"/>
  <c r="M2982" i="57"/>
  <c r="M3399" i="57"/>
  <c r="M3414" i="57" s="1"/>
  <c r="O3713" i="57" s="1"/>
  <c r="M3068" i="57"/>
  <c r="O3542" i="57" s="1"/>
  <c r="M3050" i="57"/>
  <c r="O3507" i="57" s="1"/>
  <c r="M3000" i="57"/>
  <c r="M3155" i="57" s="1"/>
  <c r="O3433" i="57" s="1"/>
  <c r="M3002" i="57"/>
  <c r="M3157" i="57" s="1"/>
  <c r="O3435" i="57" s="1"/>
  <c r="M2999" i="57"/>
  <c r="M3154" i="57" s="1"/>
  <c r="O3432" i="57" s="1"/>
  <c r="M3040" i="57"/>
  <c r="M3186" i="57" s="1"/>
  <c r="O3485" i="57" s="1"/>
  <c r="M3035" i="57"/>
  <c r="M3181" i="57" s="1"/>
  <c r="O3479" i="57" s="1"/>
  <c r="M3008" i="57"/>
  <c r="M3163" i="57" s="1"/>
  <c r="O3441" i="57" s="1"/>
  <c r="M3034" i="57"/>
  <c r="M3180" i="57" s="1"/>
  <c r="O3476" i="57" s="1"/>
  <c r="M3007" i="57"/>
  <c r="M3162" i="57" s="1"/>
  <c r="O3440" i="57" s="1"/>
  <c r="M3039" i="57"/>
  <c r="M3185" i="57" s="1"/>
  <c r="O3484" i="57" s="1"/>
  <c r="M3062" i="57"/>
  <c r="M3199" i="57" s="1"/>
  <c r="O3528" i="57" s="1"/>
  <c r="M3445" i="57"/>
  <c r="K3167" i="57"/>
  <c r="K3170" i="57"/>
  <c r="M3448" i="57"/>
  <c r="M3493" i="57"/>
  <c r="K3190" i="57"/>
  <c r="D2752" i="57"/>
  <c r="V3569" i="57"/>
  <c r="V3571" i="57"/>
  <c r="D2754" i="57"/>
  <c r="D2756" i="57"/>
  <c r="V3573" i="57"/>
  <c r="V3584" i="57"/>
  <c r="E3752" i="57" s="1"/>
  <c r="D2767" i="57"/>
  <c r="V3566" i="57"/>
  <c r="D2749" i="57"/>
  <c r="V3582" i="57"/>
  <c r="E3750" i="57" s="1"/>
  <c r="D2765" i="57"/>
  <c r="D2746" i="57"/>
  <c r="V3563" i="57"/>
  <c r="R3062" i="57"/>
  <c r="R3199" i="57" s="1"/>
  <c r="T3528" i="57" s="1"/>
  <c r="R2999" i="57"/>
  <c r="R3154" i="57" s="1"/>
  <c r="T3432" i="57" s="1"/>
  <c r="R3063" i="57"/>
  <c r="R3200" i="57" s="1"/>
  <c r="T3529" i="57" s="1"/>
  <c r="R3400" i="57"/>
  <c r="R3415" i="57" s="1"/>
  <c r="T3715" i="57" s="1"/>
  <c r="R2969" i="57"/>
  <c r="R3141" i="57" s="1"/>
  <c r="R2978" i="57"/>
  <c r="R2984" i="57"/>
  <c r="T3461" i="57" s="1"/>
  <c r="R3036" i="57"/>
  <c r="R3182" i="57" s="1"/>
  <c r="T3481" i="57" s="1"/>
  <c r="R3070" i="57"/>
  <c r="T3546" i="57" s="1"/>
  <c r="R2977" i="57"/>
  <c r="R3067" i="57"/>
  <c r="R3050" i="57"/>
  <c r="T3507" i="57" s="1"/>
  <c r="R3085" i="57"/>
  <c r="R2967" i="57"/>
  <c r="R3139" i="57" s="1"/>
  <c r="R3356" i="57" s="1"/>
  <c r="R3368" i="57" s="1"/>
  <c r="T3697" i="57" s="1"/>
  <c r="R2962" i="57"/>
  <c r="R3134" i="57" s="1"/>
  <c r="R2968" i="57"/>
  <c r="R3140" i="57" s="1"/>
  <c r="R3069" i="57"/>
  <c r="T3543" i="57" s="1"/>
  <c r="R3068" i="57"/>
  <c r="T3542" i="57" s="1"/>
  <c r="R3398" i="57"/>
  <c r="R3413" i="57" s="1"/>
  <c r="T3711" i="57" s="1"/>
  <c r="R2979" i="57"/>
  <c r="T3456" i="57" s="1"/>
  <c r="R3065" i="57"/>
  <c r="R3202" i="57" s="1"/>
  <c r="T3531" i="57" s="1"/>
  <c r="R3048" i="57"/>
  <c r="T3503" i="57" s="1"/>
  <c r="R3009" i="57"/>
  <c r="R3164" i="57" s="1"/>
  <c r="T3442" i="57" s="1"/>
  <c r="R2998" i="57"/>
  <c r="R3153" i="57" s="1"/>
  <c r="T3431" i="57" s="1"/>
  <c r="R3040" i="57"/>
  <c r="R3186" i="57" s="1"/>
  <c r="T3485" i="57" s="1"/>
  <c r="R3007" i="57"/>
  <c r="R3162" i="57" s="1"/>
  <c r="T3440" i="57" s="1"/>
  <c r="R3397" i="57"/>
  <c r="R3412" i="57" s="1"/>
  <c r="T3709" i="57" s="1"/>
  <c r="R2963" i="57"/>
  <c r="R3135" i="57" s="1"/>
  <c r="R2958" i="57"/>
  <c r="R3130" i="57" s="1"/>
  <c r="R2960" i="57"/>
  <c r="R3132" i="57" s="1"/>
  <c r="R3011" i="57"/>
  <c r="R3166" i="57" s="1"/>
  <c r="T3444" i="57" s="1"/>
  <c r="R3071" i="57"/>
  <c r="T3547" i="57" s="1"/>
  <c r="R2974" i="57"/>
  <c r="T3451" i="57" s="1"/>
  <c r="R3064" i="57"/>
  <c r="R3201" i="57" s="1"/>
  <c r="T3530" i="57" s="1"/>
  <c r="R3044" i="57"/>
  <c r="R2981" i="57"/>
  <c r="R2961" i="57"/>
  <c r="R3133" i="57" s="1"/>
  <c r="R2954" i="57"/>
  <c r="R3126" i="57" s="1"/>
  <c r="R2976" i="57"/>
  <c r="T3453" i="57" s="1"/>
  <c r="R3015" i="57"/>
  <c r="R3004" i="57"/>
  <c r="R3159" i="57" s="1"/>
  <c r="T3437" i="57" s="1"/>
  <c r="R2985" i="57"/>
  <c r="R2965" i="57"/>
  <c r="R3137" i="57" s="1"/>
  <c r="R3354" i="57" s="1"/>
  <c r="R3366" i="57" s="1"/>
  <c r="T3695" i="57" s="1"/>
  <c r="R3049" i="57"/>
  <c r="T3506" i="57" s="1"/>
  <c r="R3020" i="57"/>
  <c r="T3459" i="57" s="1"/>
  <c r="R3037" i="57"/>
  <c r="R3183" i="57" s="1"/>
  <c r="T3482" i="57" s="1"/>
  <c r="R3000" i="57"/>
  <c r="R3155" i="57" s="1"/>
  <c r="T3433" i="57" s="1"/>
  <c r="R3002" i="57"/>
  <c r="R3157" i="57" s="1"/>
  <c r="T3435" i="57" s="1"/>
  <c r="R3008" i="57"/>
  <c r="R3163" i="57" s="1"/>
  <c r="T3441" i="57" s="1"/>
  <c r="R3035" i="57"/>
  <c r="R3181" i="57" s="1"/>
  <c r="T3479" i="57" s="1"/>
  <c r="R2983" i="57"/>
  <c r="T3460" i="57" s="1"/>
  <c r="R2959" i="57"/>
  <c r="R3131" i="57" s="1"/>
  <c r="R2980" i="57"/>
  <c r="T3457" i="57" s="1"/>
  <c r="R3021" i="57"/>
  <c r="T3462" i="57" s="1"/>
  <c r="R3042" i="57"/>
  <c r="R3188" i="57" s="1"/>
  <c r="T3487" i="57" s="1"/>
  <c r="R3066" i="57"/>
  <c r="R3203" i="57" s="1"/>
  <c r="T3532" i="57" s="1"/>
  <c r="R2966" i="57"/>
  <c r="R3138" i="57" s="1"/>
  <c r="R3355" i="57" s="1"/>
  <c r="R3367" i="57" s="1"/>
  <c r="T3696" i="57" s="1"/>
  <c r="R3019" i="57"/>
  <c r="T3458" i="57" s="1"/>
  <c r="R3046" i="57"/>
  <c r="T3499" i="57" s="1"/>
  <c r="R2975" i="57"/>
  <c r="T3452" i="57" s="1"/>
  <c r="R2957" i="57"/>
  <c r="R3129" i="57" s="1"/>
  <c r="R2972" i="57"/>
  <c r="R3144" i="57" s="1"/>
  <c r="R3017" i="57"/>
  <c r="T3454" i="57" s="1"/>
  <c r="R3016" i="57"/>
  <c r="R3010" i="57"/>
  <c r="R3165" i="57" s="1"/>
  <c r="T3443" i="57" s="1"/>
  <c r="R3043" i="57"/>
  <c r="R3189" i="57" s="1"/>
  <c r="T3488" i="57" s="1"/>
  <c r="R2982" i="57"/>
  <c r="R2970" i="57"/>
  <c r="R3142" i="57" s="1"/>
  <c r="R3041" i="57"/>
  <c r="R3187" i="57" s="1"/>
  <c r="T3486" i="57" s="1"/>
  <c r="R3073" i="57"/>
  <c r="T3551" i="57" s="1"/>
  <c r="R3003" i="57"/>
  <c r="R3158" i="57" s="1"/>
  <c r="T3436" i="57" s="1"/>
  <c r="R3034" i="57"/>
  <c r="R3180" i="57" s="1"/>
  <c r="T3476" i="57" s="1"/>
  <c r="R3039" i="57"/>
  <c r="R3185" i="57" s="1"/>
  <c r="T3484" i="57" s="1"/>
  <c r="R2973" i="57"/>
  <c r="T3450" i="57" s="1"/>
  <c r="R2955" i="57"/>
  <c r="R3127" i="57" s="1"/>
  <c r="R2964" i="57"/>
  <c r="R3136" i="57" s="1"/>
  <c r="R3006" i="57"/>
  <c r="R3161" i="57" s="1"/>
  <c r="T3439" i="57" s="1"/>
  <c r="R3013" i="57"/>
  <c r="R3399" i="57"/>
  <c r="R3414" i="57" s="1"/>
  <c r="T3713" i="57" s="1"/>
  <c r="R3005" i="57"/>
  <c r="R3160" i="57" s="1"/>
  <c r="T3438" i="57" s="1"/>
  <c r="R3045" i="57"/>
  <c r="T3498" i="57" s="1"/>
  <c r="R3396" i="57"/>
  <c r="R3411" i="57" s="1"/>
  <c r="T3707" i="57" s="1"/>
  <c r="R2971" i="57"/>
  <c r="R3143" i="57" s="1"/>
  <c r="R2986" i="57"/>
  <c r="R2956" i="57"/>
  <c r="R3128" i="57" s="1"/>
  <c r="R3012" i="57"/>
  <c r="R3047" i="57"/>
  <c r="T3502" i="57" s="1"/>
  <c r="R3072" i="57"/>
  <c r="T3550" i="57" s="1"/>
  <c r="R3038" i="57"/>
  <c r="R3184" i="57" s="1"/>
  <c r="T3483" i="57" s="1"/>
  <c r="R3018" i="57"/>
  <c r="T3455" i="57" s="1"/>
  <c r="R3014" i="57"/>
  <c r="R3395" i="57"/>
  <c r="R3410" i="57" s="1"/>
  <c r="T3705" i="57" s="1"/>
  <c r="R3022" i="57"/>
  <c r="T3463" i="57" s="1"/>
  <c r="R3001" i="57"/>
  <c r="R3156" i="57" s="1"/>
  <c r="T3434" i="57" s="1"/>
  <c r="K3168" i="57"/>
  <c r="M3446" i="57"/>
  <c r="D2768" i="57"/>
  <c r="V3585" i="57"/>
  <c r="E3753" i="57" s="1"/>
  <c r="D2774" i="57"/>
  <c r="V3591" i="57"/>
  <c r="E3759" i="57" s="1"/>
  <c r="V3588" i="57"/>
  <c r="E3756" i="57" s="1"/>
  <c r="D2771" i="57"/>
  <c r="D2760" i="57"/>
  <c r="D2764" i="57"/>
  <c r="D2761" i="57"/>
  <c r="V3586" i="57"/>
  <c r="E3754" i="57" s="1"/>
  <c r="D2769" i="57"/>
  <c r="V3572" i="57"/>
  <c r="D2755" i="57"/>
  <c r="V3564" i="57"/>
  <c r="D2747" i="57"/>
  <c r="V3574" i="57"/>
  <c r="E3742" i="57" s="1"/>
  <c r="D2757" i="57"/>
  <c r="N3395" i="57"/>
  <c r="N3410" i="57" s="1"/>
  <c r="P3705" i="57" s="1"/>
  <c r="N2974" i="57"/>
  <c r="P3451" i="57" s="1"/>
  <c r="N3070" i="57"/>
  <c r="P3546" i="57" s="1"/>
  <c r="N3010" i="57"/>
  <c r="N3165" i="57" s="1"/>
  <c r="P3443" i="57" s="1"/>
  <c r="N2980" i="57"/>
  <c r="P3457" i="57" s="1"/>
  <c r="N3015" i="57"/>
  <c r="N2983" i="57"/>
  <c r="P3460" i="57" s="1"/>
  <c r="N2955" i="57"/>
  <c r="N3127" i="57" s="1"/>
  <c r="N2958" i="57"/>
  <c r="N3130" i="57" s="1"/>
  <c r="N3066" i="57"/>
  <c r="N3203" i="57" s="1"/>
  <c r="P3532" i="57" s="1"/>
  <c r="N3043" i="57"/>
  <c r="N3189" i="57" s="1"/>
  <c r="P3488" i="57" s="1"/>
  <c r="N3072" i="57"/>
  <c r="P3550" i="57" s="1"/>
  <c r="N2959" i="57"/>
  <c r="N3131" i="57" s="1"/>
  <c r="N2978" i="57"/>
  <c r="N3021" i="57"/>
  <c r="P3462" i="57" s="1"/>
  <c r="N2962" i="57"/>
  <c r="N3134" i="57" s="1"/>
  <c r="N2973" i="57"/>
  <c r="P3450" i="57" s="1"/>
  <c r="N3397" i="57"/>
  <c r="N3412" i="57" s="1"/>
  <c r="P3709" i="57" s="1"/>
  <c r="N2972" i="57"/>
  <c r="N3144" i="57" s="1"/>
  <c r="N3011" i="57"/>
  <c r="N3166" i="57" s="1"/>
  <c r="P3444" i="57" s="1"/>
  <c r="N3001" i="57"/>
  <c r="N3156" i="57" s="1"/>
  <c r="P3434" i="57" s="1"/>
  <c r="N2999" i="57"/>
  <c r="N3154" i="57" s="1"/>
  <c r="P3432" i="57" s="1"/>
  <c r="N3007" i="57"/>
  <c r="N3162" i="57" s="1"/>
  <c r="P3440" i="57" s="1"/>
  <c r="N3039" i="57"/>
  <c r="N3185" i="57" s="1"/>
  <c r="P3484" i="57" s="1"/>
  <c r="N2985" i="57"/>
  <c r="N2954" i="57"/>
  <c r="N3126" i="57" s="1"/>
  <c r="N3042" i="57"/>
  <c r="N3188" i="57" s="1"/>
  <c r="P3487" i="57" s="1"/>
  <c r="N3085" i="57"/>
  <c r="N2960" i="57"/>
  <c r="N3132" i="57" s="1"/>
  <c r="N3071" i="57"/>
  <c r="P3547" i="57" s="1"/>
  <c r="N2977" i="57"/>
  <c r="N2968" i="57"/>
  <c r="N3140" i="57" s="1"/>
  <c r="N3073" i="57"/>
  <c r="P3551" i="57" s="1"/>
  <c r="N3036" i="57"/>
  <c r="N3182" i="57" s="1"/>
  <c r="P3481" i="57" s="1"/>
  <c r="N3041" i="57"/>
  <c r="N3187" i="57" s="1"/>
  <c r="P3486" i="57" s="1"/>
  <c r="N3400" i="57"/>
  <c r="N3415" i="57" s="1"/>
  <c r="P3715" i="57" s="1"/>
  <c r="N2976" i="57"/>
  <c r="P3453" i="57" s="1"/>
  <c r="N3014" i="57"/>
  <c r="N3046" i="57"/>
  <c r="P3499" i="57" s="1"/>
  <c r="N3006" i="57"/>
  <c r="N3161" i="57" s="1"/>
  <c r="P3439" i="57" s="1"/>
  <c r="N2982" i="57"/>
  <c r="N2984" i="57"/>
  <c r="P3461" i="57" s="1"/>
  <c r="N2970" i="57"/>
  <c r="N3142" i="57" s="1"/>
  <c r="N3005" i="57"/>
  <c r="N3160" i="57" s="1"/>
  <c r="P3438" i="57" s="1"/>
  <c r="N3003" i="57"/>
  <c r="N3158" i="57" s="1"/>
  <c r="P3436" i="57" s="1"/>
  <c r="N3034" i="57"/>
  <c r="N3180" i="57" s="1"/>
  <c r="P3476" i="57" s="1"/>
  <c r="N3062" i="57"/>
  <c r="N3199" i="57" s="1"/>
  <c r="P3528" i="57" s="1"/>
  <c r="N2979" i="57"/>
  <c r="P3456" i="57" s="1"/>
  <c r="N3019" i="57"/>
  <c r="P3458" i="57" s="1"/>
  <c r="N3069" i="57"/>
  <c r="P3543" i="57" s="1"/>
  <c r="N2967" i="57"/>
  <c r="N3139" i="57" s="1"/>
  <c r="N3356" i="57" s="1"/>
  <c r="N3368" i="57" s="1"/>
  <c r="P3697" i="57" s="1"/>
  <c r="N3044" i="57"/>
  <c r="N3038" i="57"/>
  <c r="N3184" i="57" s="1"/>
  <c r="P3483" i="57" s="1"/>
  <c r="N2971" i="57"/>
  <c r="N3143" i="57" s="1"/>
  <c r="N2956" i="57"/>
  <c r="N3128" i="57" s="1"/>
  <c r="N3048" i="57"/>
  <c r="P3503" i="57" s="1"/>
  <c r="N3013" i="57"/>
  <c r="N3020" i="57"/>
  <c r="P3459" i="57" s="1"/>
  <c r="N2975" i="57"/>
  <c r="P3452" i="57" s="1"/>
  <c r="N2964" i="57"/>
  <c r="N3136" i="57" s="1"/>
  <c r="N3018" i="57"/>
  <c r="P3455" i="57" s="1"/>
  <c r="N2981" i="57"/>
  <c r="N3068" i="57"/>
  <c r="P3542" i="57" s="1"/>
  <c r="N3009" i="57"/>
  <c r="N3164" i="57" s="1"/>
  <c r="P3442" i="57" s="1"/>
  <c r="N3022" i="57"/>
  <c r="P3463" i="57" s="1"/>
  <c r="N3065" i="57"/>
  <c r="N3202" i="57" s="1"/>
  <c r="P3531" i="57" s="1"/>
  <c r="N3037" i="57"/>
  <c r="N3183" i="57" s="1"/>
  <c r="P3482" i="57" s="1"/>
  <c r="N3000" i="57"/>
  <c r="N3155" i="57" s="1"/>
  <c r="P3433" i="57" s="1"/>
  <c r="N3002" i="57"/>
  <c r="N3157" i="57" s="1"/>
  <c r="P3435" i="57" s="1"/>
  <c r="N3035" i="57"/>
  <c r="N3181" i="57" s="1"/>
  <c r="P3479" i="57" s="1"/>
  <c r="N3398" i="57"/>
  <c r="N3413" i="57" s="1"/>
  <c r="P3711" i="57" s="1"/>
  <c r="N2965" i="57"/>
  <c r="N3137" i="57" s="1"/>
  <c r="N3354" i="57" s="1"/>
  <c r="N3366" i="57" s="1"/>
  <c r="P3695" i="57" s="1"/>
  <c r="N3064" i="57"/>
  <c r="N3201" i="57" s="1"/>
  <c r="P3530" i="57" s="1"/>
  <c r="N3050" i="57"/>
  <c r="P3507" i="57" s="1"/>
  <c r="N2957" i="57"/>
  <c r="N3129" i="57" s="1"/>
  <c r="N3067" i="57"/>
  <c r="N3399" i="57"/>
  <c r="N3414" i="57" s="1"/>
  <c r="P3713" i="57" s="1"/>
  <c r="N2961" i="57"/>
  <c r="N3133" i="57" s="1"/>
  <c r="N2966" i="57"/>
  <c r="N3138" i="57" s="1"/>
  <c r="N3355" i="57" s="1"/>
  <c r="N3367" i="57" s="1"/>
  <c r="P3696" i="57" s="1"/>
  <c r="N3004" i="57"/>
  <c r="N3159" i="57" s="1"/>
  <c r="P3437" i="57" s="1"/>
  <c r="N3012" i="57"/>
  <c r="N3047" i="57"/>
  <c r="P3502" i="57" s="1"/>
  <c r="N2969" i="57"/>
  <c r="N3141" i="57" s="1"/>
  <c r="N2986" i="57"/>
  <c r="N3049" i="57"/>
  <c r="P3506" i="57" s="1"/>
  <c r="N2963" i="57"/>
  <c r="N3135" i="57" s="1"/>
  <c r="N3396" i="57"/>
  <c r="N3411" i="57" s="1"/>
  <c r="P3707" i="57" s="1"/>
  <c r="N3045" i="57"/>
  <c r="P3498" i="57" s="1"/>
  <c r="N3016" i="57"/>
  <c r="N3017" i="57"/>
  <c r="P3454" i="57" s="1"/>
  <c r="N2998" i="57"/>
  <c r="N3153" i="57" s="1"/>
  <c r="P3431" i="57" s="1"/>
  <c r="N3008" i="57"/>
  <c r="N3163" i="57" s="1"/>
  <c r="P3441" i="57" s="1"/>
  <c r="N3063" i="57"/>
  <c r="N3200" i="57" s="1"/>
  <c r="P3529" i="57" s="1"/>
  <c r="N3040" i="57"/>
  <c r="N3186" i="57" s="1"/>
  <c r="P3485" i="57" s="1"/>
  <c r="B169" i="38"/>
  <c r="E169" i="36"/>
  <c r="B169" i="35"/>
  <c r="E169" i="37"/>
  <c r="B169" i="36"/>
  <c r="B169" i="37"/>
  <c r="E169" i="35"/>
  <c r="E169" i="38"/>
  <c r="B129" i="41"/>
  <c r="E169" i="34"/>
  <c r="B169" i="34"/>
  <c r="C3741" i="57" l="1"/>
  <c r="B3752" i="57"/>
  <c r="C3732" i="57"/>
  <c r="B3735" i="57"/>
  <c r="B3753" i="57"/>
  <c r="B3809" i="57" s="1"/>
  <c r="B3734" i="57"/>
  <c r="B3846" i="57" s="1"/>
  <c r="B3974" i="57" s="1"/>
  <c r="B3750" i="57"/>
  <c r="H3752" i="57"/>
  <c r="H4169" i="57" s="1"/>
  <c r="B3744" i="57"/>
  <c r="B3856" i="57" s="1"/>
  <c r="B3984" i="57" s="1"/>
  <c r="B3737" i="57"/>
  <c r="B3849" i="57" s="1"/>
  <c r="B3977" i="57" s="1"/>
  <c r="D3762" i="57"/>
  <c r="C3758" i="57"/>
  <c r="H3760" i="57"/>
  <c r="H4177" i="57" s="1"/>
  <c r="H4236" i="57" s="1"/>
  <c r="H4290" i="57" s="1"/>
  <c r="H4481" i="57" s="1"/>
  <c r="B3754" i="57"/>
  <c r="B4171" i="57" s="1"/>
  <c r="C3743" i="57"/>
  <c r="B3733" i="57"/>
  <c r="H3742" i="57"/>
  <c r="H4159" i="57" s="1"/>
  <c r="H4218" i="57" s="1"/>
  <c r="H4272" i="57" s="1"/>
  <c r="H4422" i="57" s="1"/>
  <c r="H3756" i="57"/>
  <c r="H4173" i="57" s="1"/>
  <c r="H4232" i="57" s="1"/>
  <c r="H4286" i="57" s="1"/>
  <c r="H4471" i="57" s="1"/>
  <c r="D3741" i="57"/>
  <c r="H3754" i="57"/>
  <c r="H4171" i="57" s="1"/>
  <c r="B3757" i="57"/>
  <c r="B4174" i="57" s="1"/>
  <c r="C3762" i="57"/>
  <c r="C4179" i="57" s="1"/>
  <c r="H3762" i="57"/>
  <c r="H4179" i="57" s="1"/>
  <c r="H4238" i="57" s="1"/>
  <c r="H4292" i="57" s="1"/>
  <c r="B3755" i="57"/>
  <c r="D3763" i="57"/>
  <c r="D3875" i="57" s="1"/>
  <c r="B4069" i="57" s="1"/>
  <c r="C3744" i="57"/>
  <c r="C3856" i="57" s="1"/>
  <c r="B4017" i="57" s="1"/>
  <c r="B3758" i="57"/>
  <c r="B3762" i="57"/>
  <c r="C3738" i="57"/>
  <c r="D3742" i="57"/>
  <c r="D3854" i="57" s="1"/>
  <c r="B4048" i="57" s="1"/>
  <c r="C3759" i="57"/>
  <c r="D3754" i="57"/>
  <c r="C3755" i="57"/>
  <c r="C4172" i="57" s="1"/>
  <c r="C4231" i="57" s="1"/>
  <c r="C4285" i="57" s="1"/>
  <c r="C4468" i="57" s="1"/>
  <c r="B3740" i="57"/>
  <c r="B3852" i="57" s="1"/>
  <c r="B3980" i="57" s="1"/>
  <c r="B3761" i="57"/>
  <c r="B3732" i="57"/>
  <c r="B3763" i="57"/>
  <c r="B4180" i="57" s="1"/>
  <c r="C3739" i="57"/>
  <c r="C3851" i="57" s="1"/>
  <c r="B4012" i="57" s="1"/>
  <c r="D4012" i="57" s="1"/>
  <c r="C3754" i="57"/>
  <c r="C3740" i="57"/>
  <c r="C3742" i="57"/>
  <c r="C3854" i="57" s="1"/>
  <c r="B4015" i="57" s="1"/>
  <c r="B3743" i="57"/>
  <c r="B3855" i="57" s="1"/>
  <c r="B3983" i="57" s="1"/>
  <c r="H3743" i="57"/>
  <c r="H4160" i="57" s="1"/>
  <c r="H4219" i="57" s="1"/>
  <c r="H4273" i="57" s="1"/>
  <c r="B3741" i="57"/>
  <c r="B3759" i="57"/>
  <c r="B3871" i="57" s="1"/>
  <c r="B3999" i="57" s="1"/>
  <c r="B3751" i="57"/>
  <c r="B3863" i="57" s="1"/>
  <c r="B3991" i="57" s="1"/>
  <c r="D3743" i="57"/>
  <c r="D3755" i="57"/>
  <c r="D3758" i="57"/>
  <c r="D3870" i="57" s="1"/>
  <c r="B4064" i="57" s="1"/>
  <c r="C3735" i="57"/>
  <c r="C3847" i="57" s="1"/>
  <c r="B4008" i="57" s="1"/>
  <c r="B3742" i="57"/>
  <c r="H3744" i="57"/>
  <c r="H4161" i="57" s="1"/>
  <c r="H4220" i="57" s="1"/>
  <c r="H4274" i="57" s="1"/>
  <c r="D3740" i="57"/>
  <c r="D3852" i="57" s="1"/>
  <c r="B4046" i="57" s="1"/>
  <c r="B3738" i="57"/>
  <c r="B3850" i="57" s="1"/>
  <c r="B3978" i="57" s="1"/>
  <c r="H3758" i="57"/>
  <c r="H4175" i="57" s="1"/>
  <c r="H4234" i="57" s="1"/>
  <c r="H4288" i="57" s="1"/>
  <c r="D3759" i="57"/>
  <c r="B3756" i="57"/>
  <c r="B3868" i="57" s="1"/>
  <c r="B3996" i="57" s="1"/>
  <c r="C3763" i="57"/>
  <c r="C3875" i="57" s="1"/>
  <c r="B4036" i="57" s="1"/>
  <c r="C3737" i="57"/>
  <c r="B3739" i="57"/>
  <c r="D3744" i="57"/>
  <c r="D3856" i="57" s="1"/>
  <c r="B4050" i="57" s="1"/>
  <c r="B3760" i="57"/>
  <c r="B4177" i="57" s="1"/>
  <c r="B3731" i="57"/>
  <c r="B3843" i="57" s="1"/>
  <c r="B3971" i="57" s="1"/>
  <c r="B3847" i="57"/>
  <c r="B3975" i="57" s="1"/>
  <c r="B3864" i="57"/>
  <c r="B3992" i="57" s="1"/>
  <c r="B4169" i="57"/>
  <c r="B4228" i="57" s="1"/>
  <c r="B4282" i="57" s="1"/>
  <c r="H4426" i="57"/>
  <c r="H4425" i="57"/>
  <c r="D4172" i="57"/>
  <c r="D3867" i="57"/>
  <c r="B4061" i="57" s="1"/>
  <c r="C3853" i="57"/>
  <c r="B4014" i="57" s="1"/>
  <c r="C3844" i="57"/>
  <c r="B4005" i="57" s="1"/>
  <c r="D3871" i="57"/>
  <c r="B4065" i="57" s="1"/>
  <c r="D4176" i="57"/>
  <c r="D4235" i="57" s="1"/>
  <c r="D4289" i="57" s="1"/>
  <c r="D4478" i="57" s="1"/>
  <c r="C3849" i="57"/>
  <c r="B4010" i="57" s="1"/>
  <c r="B3851" i="57"/>
  <c r="B3979" i="57" s="1"/>
  <c r="B3862" i="57"/>
  <c r="B3990" i="57" s="1"/>
  <c r="B4167" i="57"/>
  <c r="C3870" i="57"/>
  <c r="B4031" i="57" s="1"/>
  <c r="C4175" i="57"/>
  <c r="H4480" i="57"/>
  <c r="C3855" i="57"/>
  <c r="B4016" i="57" s="1"/>
  <c r="B3845" i="57"/>
  <c r="B3973" i="57" s="1"/>
  <c r="B3789" i="57"/>
  <c r="H4421" i="57"/>
  <c r="D3853" i="57"/>
  <c r="B4047" i="57" s="1"/>
  <c r="H4230" i="57"/>
  <c r="H4284" i="57" s="1"/>
  <c r="H4485" i="57"/>
  <c r="H4486" i="57"/>
  <c r="D3874" i="57"/>
  <c r="B4068" i="57" s="1"/>
  <c r="D4179" i="57"/>
  <c r="D4238" i="57" s="1"/>
  <c r="D4292" i="57" s="1"/>
  <c r="B4172" i="57"/>
  <c r="B3867" i="57"/>
  <c r="B3995" i="57" s="1"/>
  <c r="B3870" i="57"/>
  <c r="B3998" i="57" s="1"/>
  <c r="B4175" i="57"/>
  <c r="B4234" i="57" s="1"/>
  <c r="B4288" i="57" s="1"/>
  <c r="B3874" i="57"/>
  <c r="B4002" i="57" s="1"/>
  <c r="B4179" i="57"/>
  <c r="C3850" i="57"/>
  <c r="B4011" i="57" s="1"/>
  <c r="C4176" i="57"/>
  <c r="C4235" i="57" s="1"/>
  <c r="C4289" i="57" s="1"/>
  <c r="C4478" i="57" s="1"/>
  <c r="C3871" i="57"/>
  <c r="B4032" i="57" s="1"/>
  <c r="D4171" i="57"/>
  <c r="D3866" i="57"/>
  <c r="B4060" i="57" s="1"/>
  <c r="B4178" i="57"/>
  <c r="B4237" i="57" s="1"/>
  <c r="B4291" i="57" s="1"/>
  <c r="B4483" i="57" s="1"/>
  <c r="B3873" i="57"/>
  <c r="B4001" i="57" s="1"/>
  <c r="B3844" i="57"/>
  <c r="B3972" i="57" s="1"/>
  <c r="C3866" i="57"/>
  <c r="B4027" i="57" s="1"/>
  <c r="C4171" i="57"/>
  <c r="C4230" i="57" s="1"/>
  <c r="C4284" i="57" s="1"/>
  <c r="C3852" i="57"/>
  <c r="B4013" i="57" s="1"/>
  <c r="B3853" i="57"/>
  <c r="B3981" i="57" s="1"/>
  <c r="D3855" i="57"/>
  <c r="B4049" i="57" s="1"/>
  <c r="B3854" i="57"/>
  <c r="B3982" i="57" s="1"/>
  <c r="H4429" i="57"/>
  <c r="H4428" i="57"/>
  <c r="H4475" i="57"/>
  <c r="H4476" i="57"/>
  <c r="E4159" i="57"/>
  <c r="E4176" i="57"/>
  <c r="R3167" i="57"/>
  <c r="T3445" i="57"/>
  <c r="R3168" i="57"/>
  <c r="T3446" i="57"/>
  <c r="M3168" i="57"/>
  <c r="O3446" i="57"/>
  <c r="M3226" i="57"/>
  <c r="M3108" i="57"/>
  <c r="M3331" i="57" s="1"/>
  <c r="O3572" i="57" s="1"/>
  <c r="M3228" i="57"/>
  <c r="O3655" i="57" s="1"/>
  <c r="M3114" i="57"/>
  <c r="M3106" i="57"/>
  <c r="M3329" i="57" s="1"/>
  <c r="O3570" i="57" s="1"/>
  <c r="M3103" i="57"/>
  <c r="M3327" i="57" s="1"/>
  <c r="O3567" i="57" s="1"/>
  <c r="M3222" i="57"/>
  <c r="M3223" i="57"/>
  <c r="M3115" i="57"/>
  <c r="M3217" i="57"/>
  <c r="M3219" i="57"/>
  <c r="M3101" i="57"/>
  <c r="M3099" i="57"/>
  <c r="M3324" i="57" s="1"/>
  <c r="O3563" i="57" s="1"/>
  <c r="M3218" i="57"/>
  <c r="M3216" i="57"/>
  <c r="M3232" i="57"/>
  <c r="M3117" i="57"/>
  <c r="M3112" i="57"/>
  <c r="O3616" i="57" s="1"/>
  <c r="M3227" i="57"/>
  <c r="O3654" i="57" s="1"/>
  <c r="M3107" i="57"/>
  <c r="M3330" i="57" s="1"/>
  <c r="O3571" i="57" s="1"/>
  <c r="M3100" i="57"/>
  <c r="M3325" i="57" s="1"/>
  <c r="O3564" i="57" s="1"/>
  <c r="M3102" i="57"/>
  <c r="M3326" i="57" s="1"/>
  <c r="O3566" i="57" s="1"/>
  <c r="M3105" i="57"/>
  <c r="M3328" i="57" s="1"/>
  <c r="O3569" i="57" s="1"/>
  <c r="M3230" i="57"/>
  <c r="M3110" i="57"/>
  <c r="O3614" i="57" s="1"/>
  <c r="M3116" i="57"/>
  <c r="M3224" i="57"/>
  <c r="M3225" i="57"/>
  <c r="M3111" i="57"/>
  <c r="O3615" i="57" s="1"/>
  <c r="M3231" i="57"/>
  <c r="M3233" i="57"/>
  <c r="M3113" i="57"/>
  <c r="M3234" i="57"/>
  <c r="M3229" i="57"/>
  <c r="O3656" i="57" s="1"/>
  <c r="M3104" i="57"/>
  <c r="M3109" i="57"/>
  <c r="M3332" i="57" s="1"/>
  <c r="O3573" i="57" s="1"/>
  <c r="M3220" i="57"/>
  <c r="M3221" i="57"/>
  <c r="O3447" i="57"/>
  <c r="M3169" i="57"/>
  <c r="O3537" i="57"/>
  <c r="M3204" i="57"/>
  <c r="N3448" i="57"/>
  <c r="L3170" i="57"/>
  <c r="N3493" i="57"/>
  <c r="L3190" i="57"/>
  <c r="L3115" i="57"/>
  <c r="L3222" i="57"/>
  <c r="L3111" i="57"/>
  <c r="N3615" i="57" s="1"/>
  <c r="L3101" i="57"/>
  <c r="L3107" i="57"/>
  <c r="L3330" i="57" s="1"/>
  <c r="N3571" i="57" s="1"/>
  <c r="L3225" i="57"/>
  <c r="L3114" i="57"/>
  <c r="L3223" i="57"/>
  <c r="L3099" i="57"/>
  <c r="L3324" i="57" s="1"/>
  <c r="N3563" i="57" s="1"/>
  <c r="L3102" i="57"/>
  <c r="L3326" i="57" s="1"/>
  <c r="N3566" i="57" s="1"/>
  <c r="L3226" i="57"/>
  <c r="L3229" i="57"/>
  <c r="N3656" i="57" s="1"/>
  <c r="L3230" i="57"/>
  <c r="L3110" i="57"/>
  <c r="N3614" i="57" s="1"/>
  <c r="L3232" i="57"/>
  <c r="L3234" i="57"/>
  <c r="L3117" i="57"/>
  <c r="L3227" i="57"/>
  <c r="N3654" i="57" s="1"/>
  <c r="L3112" i="57"/>
  <c r="N3616" i="57" s="1"/>
  <c r="L3218" i="57"/>
  <c r="L3105" i="57"/>
  <c r="L3328" i="57" s="1"/>
  <c r="N3569" i="57" s="1"/>
  <c r="L3216" i="57"/>
  <c r="L3220" i="57"/>
  <c r="L3103" i="57"/>
  <c r="L3327" i="57" s="1"/>
  <c r="N3567" i="57" s="1"/>
  <c r="L3113" i="57"/>
  <c r="L3221" i="57"/>
  <c r="L3228" i="57"/>
  <c r="N3655" i="57" s="1"/>
  <c r="L3104" i="57"/>
  <c r="L3224" i="57"/>
  <c r="L3217" i="57"/>
  <c r="L3231" i="57"/>
  <c r="L3116" i="57"/>
  <c r="L3109" i="57"/>
  <c r="L3332" i="57" s="1"/>
  <c r="N3573" i="57" s="1"/>
  <c r="L3100" i="57"/>
  <c r="L3325" i="57" s="1"/>
  <c r="N3564" i="57" s="1"/>
  <c r="L3233" i="57"/>
  <c r="L3106" i="57"/>
  <c r="L3329" i="57" s="1"/>
  <c r="N3570" i="57" s="1"/>
  <c r="L3108" i="57"/>
  <c r="L3331" i="57" s="1"/>
  <c r="N3572" i="57" s="1"/>
  <c r="L3219" i="57"/>
  <c r="E4177" i="57"/>
  <c r="E4161" i="57"/>
  <c r="E4220" i="57" s="1"/>
  <c r="E4274" i="57" s="1"/>
  <c r="S3217" i="57"/>
  <c r="S3230" i="57"/>
  <c r="S3233" i="57"/>
  <c r="S3103" i="57"/>
  <c r="S3327" i="57" s="1"/>
  <c r="U3567" i="57" s="1"/>
  <c r="S3099" i="57"/>
  <c r="S3324" i="57" s="1"/>
  <c r="U3563" i="57" s="1"/>
  <c r="S3101" i="57"/>
  <c r="S3225" i="57"/>
  <c r="S3218" i="57"/>
  <c r="S3228" i="57"/>
  <c r="U3655" i="57" s="1"/>
  <c r="S3226" i="57"/>
  <c r="S3109" i="57"/>
  <c r="S3332" i="57" s="1"/>
  <c r="U3573" i="57" s="1"/>
  <c r="S3234" i="57"/>
  <c r="S3227" i="57"/>
  <c r="U3654" i="57" s="1"/>
  <c r="S3107" i="57"/>
  <c r="S3330" i="57" s="1"/>
  <c r="U3571" i="57" s="1"/>
  <c r="S3112" i="57"/>
  <c r="U3616" i="57" s="1"/>
  <c r="S3116" i="57"/>
  <c r="S3114" i="57"/>
  <c r="S3105" i="57"/>
  <c r="S3328" i="57" s="1"/>
  <c r="U3569" i="57" s="1"/>
  <c r="S3115" i="57"/>
  <c r="S3100" i="57"/>
  <c r="S3325" i="57" s="1"/>
  <c r="U3564" i="57" s="1"/>
  <c r="S3216" i="57"/>
  <c r="S3108" i="57"/>
  <c r="S3331" i="57" s="1"/>
  <c r="U3572" i="57" s="1"/>
  <c r="S3222" i="57"/>
  <c r="S3220" i="57"/>
  <c r="S3102" i="57"/>
  <c r="S3326" i="57" s="1"/>
  <c r="U3566" i="57" s="1"/>
  <c r="S3219" i="57"/>
  <c r="S3229" i="57"/>
  <c r="U3656" i="57" s="1"/>
  <c r="S3110" i="57"/>
  <c r="U3614" i="57" s="1"/>
  <c r="S3104" i="57"/>
  <c r="S3231" i="57"/>
  <c r="S3117" i="57"/>
  <c r="S3106" i="57"/>
  <c r="S3329" i="57" s="1"/>
  <c r="U3570" i="57" s="1"/>
  <c r="S3111" i="57"/>
  <c r="U3615" i="57" s="1"/>
  <c r="S3223" i="57"/>
  <c r="S3224" i="57"/>
  <c r="S3221" i="57"/>
  <c r="S3232" i="57"/>
  <c r="S3113" i="57"/>
  <c r="S3170" i="57"/>
  <c r="U3448" i="57"/>
  <c r="S3449" i="57"/>
  <c r="Q3171" i="57"/>
  <c r="Q3217" i="57"/>
  <c r="Q3114" i="57"/>
  <c r="Q3103" i="57"/>
  <c r="Q3327" i="57" s="1"/>
  <c r="S3567" i="57" s="1"/>
  <c r="Q3222" i="57"/>
  <c r="Q3108" i="57"/>
  <c r="Q3331" i="57" s="1"/>
  <c r="S3572" i="57" s="1"/>
  <c r="Q3101" i="57"/>
  <c r="Q3104" i="57"/>
  <c r="Q3218" i="57"/>
  <c r="Q3115" i="57"/>
  <c r="Q3107" i="57"/>
  <c r="Q3330" i="57" s="1"/>
  <c r="S3571" i="57" s="1"/>
  <c r="Q3112" i="57"/>
  <c r="S3616" i="57" s="1"/>
  <c r="Q3224" i="57"/>
  <c r="Q3100" i="57"/>
  <c r="Q3325" i="57" s="1"/>
  <c r="S3564" i="57" s="1"/>
  <c r="Q3225" i="57"/>
  <c r="Q3117" i="57"/>
  <c r="Q3111" i="57"/>
  <c r="S3615" i="57" s="1"/>
  <c r="Q3110" i="57"/>
  <c r="S3614" i="57" s="1"/>
  <c r="Q3220" i="57"/>
  <c r="Q3230" i="57"/>
  <c r="Q3227" i="57"/>
  <c r="S3654" i="57" s="1"/>
  <c r="Q3106" i="57"/>
  <c r="Q3329" i="57" s="1"/>
  <c r="S3570" i="57" s="1"/>
  <c r="Q3228" i="57"/>
  <c r="S3655" i="57" s="1"/>
  <c r="Q3234" i="57"/>
  <c r="Q3221" i="57"/>
  <c r="Q3226" i="57"/>
  <c r="Q3216" i="57"/>
  <c r="Q3231" i="57"/>
  <c r="Q3219" i="57"/>
  <c r="Q3223" i="57"/>
  <c r="Q3229" i="57"/>
  <c r="S3656" i="57" s="1"/>
  <c r="Q3099" i="57"/>
  <c r="Q3324" i="57" s="1"/>
  <c r="S3563" i="57" s="1"/>
  <c r="Q3116" i="57"/>
  <c r="Q3233" i="57"/>
  <c r="Q3113" i="57"/>
  <c r="Q3102" i="57"/>
  <c r="Q3326" i="57" s="1"/>
  <c r="S3566" i="57" s="1"/>
  <c r="Q3105" i="57"/>
  <c r="Q3328" i="57" s="1"/>
  <c r="S3569" i="57" s="1"/>
  <c r="Q3232" i="57"/>
  <c r="Q3109" i="57"/>
  <c r="Q3332" i="57" s="1"/>
  <c r="S3573" i="57" s="1"/>
  <c r="Q3449" i="57"/>
  <c r="O3171" i="57"/>
  <c r="N3169" i="57"/>
  <c r="P3447" i="57"/>
  <c r="P3448" i="57"/>
  <c r="N3170" i="57"/>
  <c r="H4228" i="57"/>
  <c r="H4282" i="57" s="1"/>
  <c r="R3106" i="57"/>
  <c r="R3329" i="57" s="1"/>
  <c r="T3570" i="57" s="1"/>
  <c r="R3220" i="57"/>
  <c r="R3114" i="57"/>
  <c r="R3218" i="57"/>
  <c r="R3232" i="57"/>
  <c r="R3102" i="57"/>
  <c r="R3326" i="57" s="1"/>
  <c r="T3566" i="57" s="1"/>
  <c r="R3217" i="57"/>
  <c r="R3109" i="57"/>
  <c r="R3332" i="57" s="1"/>
  <c r="T3573" i="57" s="1"/>
  <c r="R3221" i="57"/>
  <c r="R3228" i="57"/>
  <c r="T3655" i="57" s="1"/>
  <c r="R3223" i="57"/>
  <c r="R3225" i="57"/>
  <c r="R3104" i="57"/>
  <c r="R3224" i="57"/>
  <c r="R3227" i="57"/>
  <c r="T3654" i="57" s="1"/>
  <c r="R3101" i="57"/>
  <c r="R3115" i="57"/>
  <c r="R3216" i="57"/>
  <c r="R3222" i="57"/>
  <c r="R3099" i="57"/>
  <c r="R3324" i="57" s="1"/>
  <c r="T3563" i="57" s="1"/>
  <c r="R3229" i="57"/>
  <c r="T3656" i="57" s="1"/>
  <c r="R3112" i="57"/>
  <c r="T3616" i="57" s="1"/>
  <c r="R3234" i="57"/>
  <c r="R3111" i="57"/>
  <c r="T3615" i="57" s="1"/>
  <c r="R3105" i="57"/>
  <c r="R3328" i="57" s="1"/>
  <c r="T3569" i="57" s="1"/>
  <c r="R3107" i="57"/>
  <c r="R3330" i="57" s="1"/>
  <c r="T3571" i="57" s="1"/>
  <c r="R3110" i="57"/>
  <c r="T3614" i="57" s="1"/>
  <c r="R3231" i="57"/>
  <c r="R3113" i="57"/>
  <c r="R3108" i="57"/>
  <c r="R3331" i="57" s="1"/>
  <c r="T3572" i="57" s="1"/>
  <c r="R3103" i="57"/>
  <c r="R3327" i="57" s="1"/>
  <c r="T3567" i="57" s="1"/>
  <c r="R3219" i="57"/>
  <c r="R3100" i="57"/>
  <c r="R3325" i="57" s="1"/>
  <c r="T3564" i="57" s="1"/>
  <c r="R3117" i="57"/>
  <c r="R3233" i="57"/>
  <c r="R3230" i="57"/>
  <c r="R3116" i="57"/>
  <c r="R3226" i="57"/>
  <c r="O3449" i="57"/>
  <c r="M3171" i="57"/>
  <c r="E4179" i="57"/>
  <c r="E4175" i="57"/>
  <c r="E4234" i="57" s="1"/>
  <c r="E4288" i="57" s="1"/>
  <c r="B3814" i="57"/>
  <c r="S3168" i="57"/>
  <c r="U3446" i="57"/>
  <c r="S3204" i="57"/>
  <c r="U3537" i="57"/>
  <c r="S3167" i="57"/>
  <c r="U3445" i="57"/>
  <c r="Q3170" i="57"/>
  <c r="S3448" i="57"/>
  <c r="Q3448" i="57"/>
  <c r="O3170" i="57"/>
  <c r="Q3537" i="57"/>
  <c r="O3204" i="57"/>
  <c r="P3449" i="57"/>
  <c r="N3171" i="57"/>
  <c r="P3445" i="57"/>
  <c r="N3167" i="57"/>
  <c r="N3168" i="57"/>
  <c r="P3446" i="57"/>
  <c r="E4171" i="57"/>
  <c r="E4170" i="57"/>
  <c r="T3449" i="57"/>
  <c r="R3171" i="57"/>
  <c r="T3448" i="57"/>
  <c r="R3170" i="57"/>
  <c r="E4167" i="57"/>
  <c r="B3806" i="57"/>
  <c r="E4169" i="57"/>
  <c r="B3808" i="57"/>
  <c r="M3190" i="57"/>
  <c r="O3493" i="57"/>
  <c r="N3449" i="57"/>
  <c r="L3171" i="57"/>
  <c r="N3445" i="57"/>
  <c r="L3167" i="57"/>
  <c r="E4178" i="57"/>
  <c r="B3817" i="57"/>
  <c r="E4160" i="57"/>
  <c r="E4219" i="57" s="1"/>
  <c r="E4273" i="57" s="1"/>
  <c r="E4172" i="57"/>
  <c r="E4231" i="57" s="1"/>
  <c r="E4285" i="57" s="1"/>
  <c r="E4468" i="57" s="1"/>
  <c r="B3811" i="57"/>
  <c r="S3171" i="57"/>
  <c r="U3449" i="57"/>
  <c r="O3109" i="57"/>
  <c r="O3332" i="57" s="1"/>
  <c r="Q3573" i="57" s="1"/>
  <c r="O3221" i="57"/>
  <c r="O3100" i="57"/>
  <c r="O3325" i="57" s="1"/>
  <c r="Q3564" i="57" s="1"/>
  <c r="O3224" i="57"/>
  <c r="O3115" i="57"/>
  <c r="O3106" i="57"/>
  <c r="O3329" i="57" s="1"/>
  <c r="Q3570" i="57" s="1"/>
  <c r="O3234" i="57"/>
  <c r="O3107" i="57"/>
  <c r="O3330" i="57" s="1"/>
  <c r="Q3571" i="57" s="1"/>
  <c r="O3108" i="57"/>
  <c r="O3331" i="57" s="1"/>
  <c r="Q3572" i="57" s="1"/>
  <c r="O3114" i="57"/>
  <c r="O3110" i="57"/>
  <c r="Q3614" i="57" s="1"/>
  <c r="O3111" i="57"/>
  <c r="Q3615" i="57" s="1"/>
  <c r="O3105" i="57"/>
  <c r="O3328" i="57" s="1"/>
  <c r="Q3569" i="57" s="1"/>
  <c r="O3228" i="57"/>
  <c r="Q3655" i="57" s="1"/>
  <c r="O3227" i="57"/>
  <c r="Q3654" i="57" s="1"/>
  <c r="O3233" i="57"/>
  <c r="O3220" i="57"/>
  <c r="O3102" i="57"/>
  <c r="O3326" i="57" s="1"/>
  <c r="Q3566" i="57" s="1"/>
  <c r="O3112" i="57"/>
  <c r="Q3616" i="57" s="1"/>
  <c r="O3218" i="57"/>
  <c r="O3226" i="57"/>
  <c r="O3113" i="57"/>
  <c r="O3101" i="57"/>
  <c r="O3217" i="57"/>
  <c r="O3225" i="57"/>
  <c r="O3099" i="57"/>
  <c r="O3324" i="57" s="1"/>
  <c r="Q3563" i="57" s="1"/>
  <c r="O3232" i="57"/>
  <c r="O3229" i="57"/>
  <c r="Q3656" i="57" s="1"/>
  <c r="O3223" i="57"/>
  <c r="O3219" i="57"/>
  <c r="O3231" i="57"/>
  <c r="O3116" i="57"/>
  <c r="O3230" i="57"/>
  <c r="O3104" i="57"/>
  <c r="O3216" i="57"/>
  <c r="O3103" i="57"/>
  <c r="O3327" i="57" s="1"/>
  <c r="Q3567" i="57" s="1"/>
  <c r="O3117" i="57"/>
  <c r="O3222" i="57"/>
  <c r="P3537" i="57"/>
  <c r="N3204" i="57"/>
  <c r="P3493" i="57"/>
  <c r="N3190" i="57"/>
  <c r="N3107" i="57"/>
  <c r="N3330" i="57" s="1"/>
  <c r="P3571" i="57" s="1"/>
  <c r="N3110" i="57"/>
  <c r="P3614" i="57" s="1"/>
  <c r="N3216" i="57"/>
  <c r="N3113" i="57"/>
  <c r="N3099" i="57"/>
  <c r="N3324" i="57" s="1"/>
  <c r="P3563" i="57" s="1"/>
  <c r="N3221" i="57"/>
  <c r="N3228" i="57"/>
  <c r="P3655" i="57" s="1"/>
  <c r="N3117" i="57"/>
  <c r="N3234" i="57"/>
  <c r="N3220" i="57"/>
  <c r="N3109" i="57"/>
  <c r="N3332" i="57" s="1"/>
  <c r="P3573" i="57" s="1"/>
  <c r="N3101" i="57"/>
  <c r="N3103" i="57"/>
  <c r="N3327" i="57" s="1"/>
  <c r="P3567" i="57" s="1"/>
  <c r="N3229" i="57"/>
  <c r="P3656" i="57" s="1"/>
  <c r="N3232" i="57"/>
  <c r="N3224" i="57"/>
  <c r="N3217" i="57"/>
  <c r="N3223" i="57"/>
  <c r="N3105" i="57"/>
  <c r="N3328" i="57" s="1"/>
  <c r="P3569" i="57" s="1"/>
  <c r="N3222" i="57"/>
  <c r="N3116" i="57"/>
  <c r="N3102" i="57"/>
  <c r="N3326" i="57" s="1"/>
  <c r="P3566" i="57" s="1"/>
  <c r="N3231" i="57"/>
  <c r="N3227" i="57"/>
  <c r="P3654" i="57" s="1"/>
  <c r="N3104" i="57"/>
  <c r="N3233" i="57"/>
  <c r="N3225" i="57"/>
  <c r="N3112" i="57"/>
  <c r="P3616" i="57" s="1"/>
  <c r="N3226" i="57"/>
  <c r="N3218" i="57"/>
  <c r="N3108" i="57"/>
  <c r="N3331" i="57" s="1"/>
  <c r="P3572" i="57" s="1"/>
  <c r="N3115" i="57"/>
  <c r="N3106" i="57"/>
  <c r="N3329" i="57" s="1"/>
  <c r="P3570" i="57" s="1"/>
  <c r="N3111" i="57"/>
  <c r="P3615" i="57" s="1"/>
  <c r="N3114" i="57"/>
  <c r="N3100" i="57"/>
  <c r="N3325" i="57" s="1"/>
  <c r="P3564" i="57" s="1"/>
  <c r="N3230" i="57"/>
  <c r="N3219" i="57"/>
  <c r="E4173" i="57"/>
  <c r="T3447" i="57"/>
  <c r="R3169" i="57"/>
  <c r="T3493" i="57"/>
  <c r="R3190" i="57"/>
  <c r="T3537" i="57"/>
  <c r="R3204" i="57"/>
  <c r="O3448" i="57"/>
  <c r="M3170" i="57"/>
  <c r="O3445" i="57"/>
  <c r="M3167" i="57"/>
  <c r="N3537" i="57"/>
  <c r="L3204" i="57"/>
  <c r="N3446" i="57"/>
  <c r="L3168" i="57"/>
  <c r="L3169" i="57"/>
  <c r="N3447" i="57"/>
  <c r="E4180" i="57"/>
  <c r="E4168" i="57"/>
  <c r="E4174" i="57"/>
  <c r="U3493" i="57"/>
  <c r="S3190" i="57"/>
  <c r="B3736" i="57"/>
  <c r="S3169" i="57"/>
  <c r="U3447" i="57"/>
  <c r="S3537" i="57"/>
  <c r="Q3204" i="57"/>
  <c r="Q3169" i="57"/>
  <c r="S3447" i="57"/>
  <c r="Q3167" i="57"/>
  <c r="S3445" i="57"/>
  <c r="S3493" i="57"/>
  <c r="Q3190" i="57"/>
  <c r="S3446" i="57"/>
  <c r="Q3168" i="57"/>
  <c r="Q3445" i="57"/>
  <c r="O3167" i="57"/>
  <c r="Q3493" i="57"/>
  <c r="O3190" i="57"/>
  <c r="O3169" i="57"/>
  <c r="Q3447" i="57"/>
  <c r="Q3446" i="57"/>
  <c r="O3168" i="57"/>
  <c r="E170" i="38"/>
  <c r="B170" i="37"/>
  <c r="E170" i="37"/>
  <c r="E170" i="35"/>
  <c r="B170" i="38"/>
  <c r="E170" i="36"/>
  <c r="B170" i="35"/>
  <c r="B170" i="36"/>
  <c r="E170" i="34"/>
  <c r="B170" i="34"/>
  <c r="B130" i="41"/>
  <c r="D4175" i="57" l="1"/>
  <c r="B3865" i="57"/>
  <c r="B3993" i="57" s="1"/>
  <c r="D4180" i="57"/>
  <c r="D4239" i="57" s="1"/>
  <c r="D4293" i="57" s="1"/>
  <c r="D4488" i="57" s="1"/>
  <c r="B3813" i="57"/>
  <c r="B3815" i="57"/>
  <c r="B4170" i="57"/>
  <c r="B4229" i="57" s="1"/>
  <c r="B4283" i="57" s="1"/>
  <c r="B4462" i="57" s="1"/>
  <c r="C3867" i="57"/>
  <c r="B4028" i="57" s="1"/>
  <c r="B3869" i="57"/>
  <c r="B3997" i="57" s="1"/>
  <c r="H4423" i="57"/>
  <c r="I79" i="56" s="1"/>
  <c r="B3875" i="57"/>
  <c r="B4003" i="57" s="1"/>
  <c r="B4176" i="57"/>
  <c r="B3818" i="57"/>
  <c r="C3874" i="57"/>
  <c r="B4035" i="57" s="1"/>
  <c r="D4035" i="57" s="1"/>
  <c r="B3747" i="57"/>
  <c r="B3859" i="57" s="1"/>
  <c r="B3987" i="57" s="1"/>
  <c r="B3745" i="57"/>
  <c r="B3857" i="57" s="1"/>
  <c r="B3985" i="57" s="1"/>
  <c r="B3748" i="57"/>
  <c r="B3819" i="57"/>
  <c r="B4168" i="57"/>
  <c r="B4227" i="57" s="1"/>
  <c r="B4281" i="57" s="1"/>
  <c r="B3807" i="57"/>
  <c r="B3812" i="57"/>
  <c r="H4470" i="57"/>
  <c r="J41" i="55" s="1"/>
  <c r="B3866" i="57"/>
  <c r="B3994" i="57" s="1"/>
  <c r="D3994" i="57" s="1"/>
  <c r="B3872" i="57"/>
  <c r="B4000" i="57" s="1"/>
  <c r="C4180" i="57"/>
  <c r="C4239" i="57" s="1"/>
  <c r="C4293" i="57" s="1"/>
  <c r="C4488" i="57" s="1"/>
  <c r="B3810" i="57"/>
  <c r="B3816" i="57"/>
  <c r="B3746" i="57"/>
  <c r="B3802" i="57" s="1"/>
  <c r="B4173" i="57"/>
  <c r="B4232" i="57" s="1"/>
  <c r="B4286" i="57" s="1"/>
  <c r="B3749" i="57"/>
  <c r="B3861" i="57" s="1"/>
  <c r="B3989" i="57" s="1"/>
  <c r="C3749" i="57"/>
  <c r="C3861" i="57" s="1"/>
  <c r="B4022" i="57" s="1"/>
  <c r="D4022" i="57" s="1"/>
  <c r="D3749" i="57"/>
  <c r="D3861" i="57" s="1"/>
  <c r="B4055" i="57" s="1"/>
  <c r="D4055" i="57" s="1"/>
  <c r="B3860" i="57"/>
  <c r="B3988" i="57" s="1"/>
  <c r="B3804" i="57"/>
  <c r="H4460" i="57"/>
  <c r="H4458" i="57"/>
  <c r="H4459" i="57"/>
  <c r="B3803" i="57"/>
  <c r="E4425" i="57"/>
  <c r="E4426" i="57"/>
  <c r="E4228" i="57"/>
  <c r="B4336" i="57" s="1"/>
  <c r="E4229" i="57"/>
  <c r="B4337" i="57" s="1"/>
  <c r="E4238" i="57"/>
  <c r="E4292" i="57" s="1"/>
  <c r="F3742" i="57"/>
  <c r="E3732" i="57"/>
  <c r="E3734" i="57"/>
  <c r="D3978" i="57"/>
  <c r="I84" i="56"/>
  <c r="J29" i="55"/>
  <c r="D4008" i="57"/>
  <c r="C4464" i="57"/>
  <c r="C4466" i="57"/>
  <c r="C4465" i="57"/>
  <c r="D3993" i="57"/>
  <c r="D4001" i="57"/>
  <c r="D4028" i="57"/>
  <c r="D4032" i="57"/>
  <c r="B4476" i="57"/>
  <c r="B4475" i="57"/>
  <c r="O144" i="56"/>
  <c r="F48" i="55"/>
  <c r="D4485" i="57"/>
  <c r="D4486" i="57"/>
  <c r="D3977" i="57"/>
  <c r="I142" i="56"/>
  <c r="J91" i="55"/>
  <c r="D3997" i="57"/>
  <c r="D4047" i="57"/>
  <c r="J76" i="55"/>
  <c r="D3973" i="57"/>
  <c r="C4234" i="57"/>
  <c r="C4288" i="57" s="1"/>
  <c r="D3971" i="57"/>
  <c r="D4050" i="57"/>
  <c r="D4010" i="57"/>
  <c r="D3996" i="57"/>
  <c r="D4005" i="57"/>
  <c r="D4064" i="57"/>
  <c r="D3991" i="57"/>
  <c r="J28" i="55"/>
  <c r="I81" i="56"/>
  <c r="B4458" i="57"/>
  <c r="B4459" i="57"/>
  <c r="B4460" i="57"/>
  <c r="E4227" i="57"/>
  <c r="B4335" i="57" s="1"/>
  <c r="G3744" i="57"/>
  <c r="G4161" i="57" s="1"/>
  <c r="G4220" i="57" s="1"/>
  <c r="G4274" i="57" s="1"/>
  <c r="F3744" i="57"/>
  <c r="E4429" i="57"/>
  <c r="E4428" i="57"/>
  <c r="E3740" i="57"/>
  <c r="E3741" i="57"/>
  <c r="E3737" i="57"/>
  <c r="E3731" i="57"/>
  <c r="E3739" i="57"/>
  <c r="E4218" i="57"/>
  <c r="J78" i="55"/>
  <c r="I85" i="56"/>
  <c r="D3981" i="57"/>
  <c r="D4015" i="57"/>
  <c r="D4027" i="57"/>
  <c r="M118" i="56"/>
  <c r="E118" i="56"/>
  <c r="D38" i="55"/>
  <c r="D46" i="55"/>
  <c r="M139" i="56"/>
  <c r="E139" i="56"/>
  <c r="N124" i="56"/>
  <c r="E40" i="55"/>
  <c r="E44" i="55"/>
  <c r="N134" i="56"/>
  <c r="D4011" i="57"/>
  <c r="D3998" i="57"/>
  <c r="D4069" i="57"/>
  <c r="D4068" i="57"/>
  <c r="J47" i="55"/>
  <c r="I141" i="56"/>
  <c r="B4233" i="57"/>
  <c r="B4287" i="57" s="1"/>
  <c r="B4473" i="57" s="1"/>
  <c r="I78" i="56"/>
  <c r="J58" i="55"/>
  <c r="B4230" i="57"/>
  <c r="B4284" i="57" s="1"/>
  <c r="D4031" i="57"/>
  <c r="B4470" i="57"/>
  <c r="B4471" i="57"/>
  <c r="D4234" i="57"/>
  <c r="B4342" i="57" s="1"/>
  <c r="B4456" i="57"/>
  <c r="B4455" i="57"/>
  <c r="I82" i="56"/>
  <c r="J77" i="55"/>
  <c r="D3992" i="57"/>
  <c r="E4233" i="57"/>
  <c r="E4287" i="57" s="1"/>
  <c r="E4473" i="57" s="1"/>
  <c r="B3848" i="57"/>
  <c r="B3976" i="57" s="1"/>
  <c r="B3792" i="57"/>
  <c r="E4232" i="57"/>
  <c r="B4340" i="57" s="1"/>
  <c r="F124" i="56"/>
  <c r="G40" i="55"/>
  <c r="E4237" i="57"/>
  <c r="B4345" i="57" s="1"/>
  <c r="E4226" i="57"/>
  <c r="E4230" i="57"/>
  <c r="E4284" i="57" s="1"/>
  <c r="E4475" i="57"/>
  <c r="E4476" i="57"/>
  <c r="E3738" i="57"/>
  <c r="E3735" i="57"/>
  <c r="I132" i="56"/>
  <c r="J89" i="55"/>
  <c r="D4046" i="57"/>
  <c r="D3982" i="57"/>
  <c r="D4049" i="57"/>
  <c r="D3983" i="57"/>
  <c r="D4060" i="57"/>
  <c r="B4238" i="57"/>
  <c r="D4017" i="57"/>
  <c r="D3995" i="57"/>
  <c r="D3984" i="57"/>
  <c r="D3974" i="57"/>
  <c r="C4238" i="57"/>
  <c r="C4292" i="57" s="1"/>
  <c r="H4464" i="57"/>
  <c r="H4466" i="57"/>
  <c r="H4465" i="57"/>
  <c r="I77" i="56"/>
  <c r="J27" i="55"/>
  <c r="D4016" i="57"/>
  <c r="I136" i="56"/>
  <c r="J45" i="55"/>
  <c r="B4226" i="57"/>
  <c r="B4280" i="57" s="1"/>
  <c r="E48" i="55"/>
  <c r="N144" i="56"/>
  <c r="F44" i="55"/>
  <c r="O134" i="56"/>
  <c r="D4014" i="57"/>
  <c r="D4061" i="57"/>
  <c r="D3999" i="57"/>
  <c r="B4239" i="57"/>
  <c r="B4293" i="57" s="1"/>
  <c r="B4488" i="57" s="1"/>
  <c r="D3975" i="57"/>
  <c r="E4239" i="57"/>
  <c r="E4293" i="57" s="1"/>
  <c r="E4488" i="57" s="1"/>
  <c r="F3743" i="57"/>
  <c r="G3742" i="57"/>
  <c r="G4159" i="57" s="1"/>
  <c r="G4218" i="57" s="1"/>
  <c r="G4272" i="57" s="1"/>
  <c r="G3743" i="57"/>
  <c r="G4160" i="57" s="1"/>
  <c r="G4219" i="57" s="1"/>
  <c r="G4273" i="57" s="1"/>
  <c r="E4236" i="57"/>
  <c r="E4290" i="57" s="1"/>
  <c r="E4235" i="57"/>
  <c r="I131" i="56"/>
  <c r="J43" i="55"/>
  <c r="D4013" i="57"/>
  <c r="D3972" i="57"/>
  <c r="D3980" i="57"/>
  <c r="D4230" i="57"/>
  <c r="D4284" i="57" s="1"/>
  <c r="D4048" i="57"/>
  <c r="D4002" i="57"/>
  <c r="B4231" i="57"/>
  <c r="B4285" i="57" s="1"/>
  <c r="B4468" i="57" s="1"/>
  <c r="J88" i="55"/>
  <c r="I127" i="56"/>
  <c r="I137" i="56"/>
  <c r="J90" i="55"/>
  <c r="D3990" i="57"/>
  <c r="B4236" i="57"/>
  <c r="B4290" i="57" s="1"/>
  <c r="D3979" i="57"/>
  <c r="D4036" i="57"/>
  <c r="D4065" i="57"/>
  <c r="D4231" i="57"/>
  <c r="D4285" i="57" s="1"/>
  <c r="D4468" i="57" s="1"/>
  <c r="B4235" i="57"/>
  <c r="B4289" i="57" s="1"/>
  <c r="B4478" i="57" s="1"/>
  <c r="D4003" i="57"/>
  <c r="E171" i="38"/>
  <c r="E171" i="36"/>
  <c r="B171" i="35"/>
  <c r="B171" i="38"/>
  <c r="B171" i="36"/>
  <c r="E171" i="37"/>
  <c r="B171" i="37"/>
  <c r="B131" i="41"/>
  <c r="B132" i="41" s="1"/>
  <c r="B171" i="34"/>
  <c r="E171" i="34"/>
  <c r="E171" i="35"/>
  <c r="I126" i="56" l="1"/>
  <c r="B3801" i="57"/>
  <c r="B3805" i="57"/>
  <c r="D4000" i="57"/>
  <c r="B3858" i="57"/>
  <c r="B3986" i="57" s="1"/>
  <c r="F4041" i="57" s="1"/>
  <c r="H4041" i="57" s="1"/>
  <c r="E4291" i="57"/>
  <c r="E4483" i="57" s="1"/>
  <c r="E4283" i="57"/>
  <c r="E4462" i="57" s="1"/>
  <c r="E4286" i="57"/>
  <c r="D44" i="55"/>
  <c r="M134" i="56"/>
  <c r="E134" i="56"/>
  <c r="G42" i="55"/>
  <c r="F129" i="56"/>
  <c r="D129" i="56"/>
  <c r="C4475" i="57"/>
  <c r="C4476" i="57"/>
  <c r="B4480" i="57"/>
  <c r="B4481" i="57"/>
  <c r="E4486" i="57"/>
  <c r="E4485" i="57"/>
  <c r="B4339" i="57"/>
  <c r="B4343" i="57"/>
  <c r="G4421" i="57"/>
  <c r="G4422" i="57"/>
  <c r="G4423" i="57"/>
  <c r="J39" i="55"/>
  <c r="I120" i="56"/>
  <c r="B4346" i="57"/>
  <c r="G43" i="55"/>
  <c r="F131" i="56"/>
  <c r="B4334" i="57"/>
  <c r="E4158" i="57"/>
  <c r="B3797" i="57"/>
  <c r="F4161" i="57"/>
  <c r="B3800" i="57"/>
  <c r="E116" i="56"/>
  <c r="M116" i="56"/>
  <c r="D86" i="55"/>
  <c r="F91" i="55"/>
  <c r="O142" i="56"/>
  <c r="M131" i="56"/>
  <c r="D43" i="55"/>
  <c r="N120" i="56"/>
  <c r="E39" i="55"/>
  <c r="E4149" i="57"/>
  <c r="B3788" i="57"/>
  <c r="D118" i="56"/>
  <c r="F118" i="56"/>
  <c r="G38" i="55"/>
  <c r="G77" i="55"/>
  <c r="F82" i="56"/>
  <c r="O124" i="56"/>
  <c r="F40" i="55"/>
  <c r="D4464" i="57"/>
  <c r="D4466" i="57"/>
  <c r="D4465" i="57"/>
  <c r="E4480" i="57"/>
  <c r="E4481" i="57"/>
  <c r="F4160" i="57"/>
  <c r="B3799" i="57"/>
  <c r="B4451" i="57"/>
  <c r="B4452" i="57"/>
  <c r="B4453" i="57"/>
  <c r="E4152" i="57"/>
  <c r="B3791" i="57"/>
  <c r="E4464" i="57"/>
  <c r="E4466" i="57"/>
  <c r="E4465" i="57"/>
  <c r="D139" i="56"/>
  <c r="F139" i="56"/>
  <c r="G46" i="55"/>
  <c r="D3976" i="57"/>
  <c r="E111" i="56"/>
  <c r="D36" i="55"/>
  <c r="M111" i="56"/>
  <c r="M127" i="56"/>
  <c r="E127" i="56"/>
  <c r="D88" i="55"/>
  <c r="B4465" i="57"/>
  <c r="B4466" i="57"/>
  <c r="B4464" i="57"/>
  <c r="D42" i="55"/>
  <c r="E129" i="56"/>
  <c r="M129" i="56"/>
  <c r="Q139" i="56"/>
  <c r="R139" i="56"/>
  <c r="P139" i="56"/>
  <c r="P118" i="56"/>
  <c r="R118" i="56"/>
  <c r="Q118" i="56"/>
  <c r="E4156" i="57"/>
  <c r="B3795" i="57"/>
  <c r="E4157" i="57"/>
  <c r="B3796" i="57"/>
  <c r="G4428" i="57"/>
  <c r="G4429" i="57"/>
  <c r="E115" i="56"/>
  <c r="D65" i="55"/>
  <c r="M115" i="56"/>
  <c r="O141" i="56"/>
  <c r="F47" i="55"/>
  <c r="M132" i="56"/>
  <c r="D89" i="55"/>
  <c r="F4159" i="57"/>
  <c r="F4218" i="57" s="1"/>
  <c r="F4272" i="57" s="1"/>
  <c r="B3798" i="57"/>
  <c r="F81" i="56"/>
  <c r="G28" i="55"/>
  <c r="J65" i="55"/>
  <c r="I115" i="56"/>
  <c r="D3988" i="57"/>
  <c r="B4344" i="57"/>
  <c r="F144" i="56"/>
  <c r="G48" i="55"/>
  <c r="D144" i="56"/>
  <c r="M144" i="56"/>
  <c r="E144" i="56"/>
  <c r="D48" i="55"/>
  <c r="J66" i="55"/>
  <c r="I121" i="56"/>
  <c r="C4486" i="57"/>
  <c r="C4485" i="57"/>
  <c r="E4155" i="57"/>
  <c r="B3794" i="57"/>
  <c r="B4338" i="57"/>
  <c r="D85" i="55"/>
  <c r="M112" i="56"/>
  <c r="E112" i="56"/>
  <c r="M126" i="56"/>
  <c r="E126" i="56"/>
  <c r="D41" i="55"/>
  <c r="B4341" i="57"/>
  <c r="E4148" i="57"/>
  <c r="B3787" i="57"/>
  <c r="G29" i="55"/>
  <c r="F84" i="56"/>
  <c r="E4281" i="57"/>
  <c r="M114" i="56"/>
  <c r="D37" i="55"/>
  <c r="E114" i="56"/>
  <c r="F4033" i="57"/>
  <c r="H4033" i="57" s="1"/>
  <c r="N121" i="56"/>
  <c r="E66" i="55"/>
  <c r="E4282" i="57"/>
  <c r="I114" i="56"/>
  <c r="J37" i="55"/>
  <c r="D3989" i="57"/>
  <c r="M124" i="56"/>
  <c r="E124" i="56"/>
  <c r="D40" i="55"/>
  <c r="E4289" i="57"/>
  <c r="E4478" i="57" s="1"/>
  <c r="G4426" i="57"/>
  <c r="G4425" i="57"/>
  <c r="B4347" i="57"/>
  <c r="J87" i="55"/>
  <c r="I122" i="56"/>
  <c r="B4292" i="57"/>
  <c r="F3982" i="57"/>
  <c r="H3982" i="57" s="1"/>
  <c r="G89" i="55"/>
  <c r="F132" i="56"/>
  <c r="E4280" i="57"/>
  <c r="D124" i="56"/>
  <c r="E4471" i="57"/>
  <c r="E4470" i="57"/>
  <c r="D4288" i="57"/>
  <c r="F4031" i="57"/>
  <c r="H4031" i="57" s="1"/>
  <c r="E4272" i="57"/>
  <c r="B3793" i="57"/>
  <c r="E4154" i="57"/>
  <c r="F85" i="56"/>
  <c r="G78" i="55"/>
  <c r="F4064" i="57"/>
  <c r="H4064" i="57" s="1"/>
  <c r="F4045" i="57"/>
  <c r="H4045" i="57" s="1"/>
  <c r="F4029" i="57"/>
  <c r="H4029" i="57" s="1"/>
  <c r="E87" i="55"/>
  <c r="N122" i="56"/>
  <c r="E4151" i="57"/>
  <c r="B3790" i="57"/>
  <c r="D3987" i="57"/>
  <c r="I116" i="56"/>
  <c r="I160" i="56" s="1"/>
  <c r="J86" i="55"/>
  <c r="D3985" i="57"/>
  <c r="C173" i="38"/>
  <c r="B173" i="37"/>
  <c r="E173" i="37"/>
  <c r="E173" i="35"/>
  <c r="C173" i="37"/>
  <c r="E173" i="36"/>
  <c r="C173" i="35"/>
  <c r="E173" i="38"/>
  <c r="C173" i="36"/>
  <c r="B173" i="35"/>
  <c r="B173" i="38"/>
  <c r="B173" i="36"/>
  <c r="E173" i="34"/>
  <c r="B173" i="34"/>
  <c r="C173" i="34"/>
  <c r="B133" i="41"/>
  <c r="F4032" i="57" l="1"/>
  <c r="H4032" i="57" s="1"/>
  <c r="F4007" i="57"/>
  <c r="H4007" i="57" s="1"/>
  <c r="F4024" i="57"/>
  <c r="H4024" i="57" s="1"/>
  <c r="F3976" i="57"/>
  <c r="H3976" i="57" s="1"/>
  <c r="F4040" i="57"/>
  <c r="H4040" i="57" s="1"/>
  <c r="F4066" i="57"/>
  <c r="H4066" i="57" s="1"/>
  <c r="F4039" i="57"/>
  <c r="H4039" i="57" s="1"/>
  <c r="F4027" i="57"/>
  <c r="H4027" i="57" s="1"/>
  <c r="F3974" i="57"/>
  <c r="H3974" i="57" s="1"/>
  <c r="F3997" i="57"/>
  <c r="H3997" i="57" s="1"/>
  <c r="F3985" i="57"/>
  <c r="H3985" i="57" s="1"/>
  <c r="F3987" i="57"/>
  <c r="H3987" i="57" s="1"/>
  <c r="F4053" i="57"/>
  <c r="H4053" i="57" s="1"/>
  <c r="F4052" i="57"/>
  <c r="H4052" i="57" s="1"/>
  <c r="F4058" i="57"/>
  <c r="H4058" i="57" s="1"/>
  <c r="F4069" i="57"/>
  <c r="H4069" i="57" s="1"/>
  <c r="F4030" i="57"/>
  <c r="H4030" i="57" s="1"/>
  <c r="F4005" i="57"/>
  <c r="H4005" i="57" s="1"/>
  <c r="F4004" i="57"/>
  <c r="H4004" i="57" s="1"/>
  <c r="F3988" i="57"/>
  <c r="H3988" i="57" s="1"/>
  <c r="F3978" i="57"/>
  <c r="H3978" i="57" s="1"/>
  <c r="F3983" i="57"/>
  <c r="H3983" i="57" s="1"/>
  <c r="F3994" i="57"/>
  <c r="H3994" i="57" s="1"/>
  <c r="F4037" i="57"/>
  <c r="H4037" i="57" s="1"/>
  <c r="F4021" i="57"/>
  <c r="H4021" i="57" s="1"/>
  <c r="F3991" i="57"/>
  <c r="H3991" i="57" s="1"/>
  <c r="F4062" i="57"/>
  <c r="H4062" i="57" s="1"/>
  <c r="F3996" i="57"/>
  <c r="H3996" i="57" s="1"/>
  <c r="F3981" i="57"/>
  <c r="H3981" i="57" s="1"/>
  <c r="F4001" i="57"/>
  <c r="H4001" i="57" s="1"/>
  <c r="F4042" i="57"/>
  <c r="H4042" i="57" s="1"/>
  <c r="F4018" i="57"/>
  <c r="H4018" i="57" s="1"/>
  <c r="F4067" i="57"/>
  <c r="H4067" i="57" s="1"/>
  <c r="F4068" i="57"/>
  <c r="H4068" i="57" s="1"/>
  <c r="F4054" i="57"/>
  <c r="H4054" i="57" s="1"/>
  <c r="F3998" i="57"/>
  <c r="H3998" i="57" s="1"/>
  <c r="F4028" i="57"/>
  <c r="H4028" i="57" s="1"/>
  <c r="F3995" i="57"/>
  <c r="H3995" i="57" s="1"/>
  <c r="F3989" i="57"/>
  <c r="H3989" i="57" s="1"/>
  <c r="F4008" i="57"/>
  <c r="H4008" i="57" s="1"/>
  <c r="F3977" i="57"/>
  <c r="H3977" i="57" s="1"/>
  <c r="F4020" i="57"/>
  <c r="H4020" i="57" s="1"/>
  <c r="F4025" i="57"/>
  <c r="H4025" i="57" s="1"/>
  <c r="F4010" i="57"/>
  <c r="H4010" i="57" s="1"/>
  <c r="F4046" i="57"/>
  <c r="H4046" i="57" s="1"/>
  <c r="F4017" i="57"/>
  <c r="H4017" i="57" s="1"/>
  <c r="F3984" i="57"/>
  <c r="H3984" i="57" s="1"/>
  <c r="F4061" i="57"/>
  <c r="H4061" i="57" s="1"/>
  <c r="F4013" i="57"/>
  <c r="H4013" i="57" s="1"/>
  <c r="F4048" i="57"/>
  <c r="H4048" i="57" s="1"/>
  <c r="F4060" i="57"/>
  <c r="H4060" i="57" s="1"/>
  <c r="F3980" i="57"/>
  <c r="H3980" i="57" s="1"/>
  <c r="F4036" i="57"/>
  <c r="H4036" i="57" s="1"/>
  <c r="F4014" i="57"/>
  <c r="H4014" i="57" s="1"/>
  <c r="F3990" i="57"/>
  <c r="H3990" i="57" s="1"/>
  <c r="F4049" i="57"/>
  <c r="H4049" i="57" s="1"/>
  <c r="F3999" i="57"/>
  <c r="H3999" i="57" s="1"/>
  <c r="F3975" i="57"/>
  <c r="H3975" i="57" s="1"/>
  <c r="F4002" i="57"/>
  <c r="H4002" i="57" s="1"/>
  <c r="F4035" i="57"/>
  <c r="H4035" i="57" s="1"/>
  <c r="F3979" i="57"/>
  <c r="H3979" i="57" s="1"/>
  <c r="F4065" i="57"/>
  <c r="H4065" i="57" s="1"/>
  <c r="F4003" i="57"/>
  <c r="H4003" i="57" s="1"/>
  <c r="F4016" i="57"/>
  <c r="H4016" i="57" s="1"/>
  <c r="F3972" i="57"/>
  <c r="H3972" i="57" s="1"/>
  <c r="F3973" i="57"/>
  <c r="H3973" i="57" s="1"/>
  <c r="F4063" i="57"/>
  <c r="H4063" i="57" s="1"/>
  <c r="F4043" i="57"/>
  <c r="H4043" i="57" s="1"/>
  <c r="F4015" i="57"/>
  <c r="H4015" i="57" s="1"/>
  <c r="F3992" i="57"/>
  <c r="H3992" i="57" s="1"/>
  <c r="F4022" i="57"/>
  <c r="H4022" i="57" s="1"/>
  <c r="F4047" i="57"/>
  <c r="H4047" i="57" s="1"/>
  <c r="F4034" i="57"/>
  <c r="H4034" i="57" s="1"/>
  <c r="F3971" i="57"/>
  <c r="H3971" i="57" s="1"/>
  <c r="F4011" i="57"/>
  <c r="H4011" i="57" s="1"/>
  <c r="F4055" i="57"/>
  <c r="H4055" i="57" s="1"/>
  <c r="F3986" i="57"/>
  <c r="H3986" i="57" s="1"/>
  <c r="F4026" i="57"/>
  <c r="H4026" i="57" s="1"/>
  <c r="F4056" i="57"/>
  <c r="H4056" i="57" s="1"/>
  <c r="F4051" i="57"/>
  <c r="H4051" i="57" s="1"/>
  <c r="F4012" i="57"/>
  <c r="H4012" i="57" s="1"/>
  <c r="F4059" i="57"/>
  <c r="H4059" i="57" s="1"/>
  <c r="F4019" i="57"/>
  <c r="H4019" i="57" s="1"/>
  <c r="F4057" i="57"/>
  <c r="H4057" i="57" s="1"/>
  <c r="D3986" i="57"/>
  <c r="L3970" i="57" s="1"/>
  <c r="F4009" i="57"/>
  <c r="H4009" i="57" s="1"/>
  <c r="F4038" i="57"/>
  <c r="H4038" i="57" s="1"/>
  <c r="F4023" i="57"/>
  <c r="H4023" i="57" s="1"/>
  <c r="F3993" i="57"/>
  <c r="H3993" i="57" s="1"/>
  <c r="F4006" i="57"/>
  <c r="H4006" i="57" s="1"/>
  <c r="F4044" i="57"/>
  <c r="H4044" i="57" s="1"/>
  <c r="F4050" i="57"/>
  <c r="H4050" i="57" s="1"/>
  <c r="F4000" i="57"/>
  <c r="H4000" i="57" s="1"/>
  <c r="V124" i="56"/>
  <c r="U124" i="56"/>
  <c r="T124" i="56"/>
  <c r="S124" i="56"/>
  <c r="H81" i="56"/>
  <c r="I28" i="55"/>
  <c r="P112" i="56"/>
  <c r="Q112" i="56"/>
  <c r="R112" i="56"/>
  <c r="V144" i="56"/>
  <c r="S144" i="56"/>
  <c r="U144" i="56"/>
  <c r="T144" i="56"/>
  <c r="F4423" i="57"/>
  <c r="F4422" i="57"/>
  <c r="F4421" i="57"/>
  <c r="Q115" i="56"/>
  <c r="P115" i="56"/>
  <c r="R115" i="56"/>
  <c r="E4216" i="57"/>
  <c r="Q129" i="56"/>
  <c r="P129" i="56"/>
  <c r="R129" i="56"/>
  <c r="D66" i="55"/>
  <c r="M121" i="56"/>
  <c r="E121" i="56"/>
  <c r="F120" i="56"/>
  <c r="G39" i="55"/>
  <c r="D120" i="56"/>
  <c r="M107" i="56"/>
  <c r="E107" i="56"/>
  <c r="D35" i="55"/>
  <c r="F137" i="56"/>
  <c r="G90" i="55"/>
  <c r="D137" i="56"/>
  <c r="F87" i="55"/>
  <c r="O122" i="56"/>
  <c r="H77" i="56"/>
  <c r="I27" i="55"/>
  <c r="G91" i="55"/>
  <c r="F142" i="56"/>
  <c r="N131" i="56"/>
  <c r="E43" i="55"/>
  <c r="I4066" i="57"/>
  <c r="E4421" i="57"/>
  <c r="E4422" i="57"/>
  <c r="E4423" i="57"/>
  <c r="D4475" i="57"/>
  <c r="D4476" i="57"/>
  <c r="E4452" i="57"/>
  <c r="E4453" i="57"/>
  <c r="E4451" i="57"/>
  <c r="I4000" i="57"/>
  <c r="I77" i="55"/>
  <c r="H82" i="56"/>
  <c r="E4459" i="57"/>
  <c r="E4460" i="57"/>
  <c r="E4458" i="57"/>
  <c r="I4037" i="57"/>
  <c r="E4456" i="57"/>
  <c r="E4455" i="57"/>
  <c r="B3830" i="57"/>
  <c r="E4214" i="57"/>
  <c r="E4268" i="57" s="1"/>
  <c r="E4409" i="57" s="1"/>
  <c r="N141" i="56"/>
  <c r="E47" i="55"/>
  <c r="I4038" i="57"/>
  <c r="H85" i="56"/>
  <c r="I78" i="55"/>
  <c r="T139" i="56"/>
  <c r="S139" i="56"/>
  <c r="V139" i="56"/>
  <c r="U139" i="56"/>
  <c r="I4016" i="57"/>
  <c r="F136" i="56"/>
  <c r="D136" i="56"/>
  <c r="G45" i="55"/>
  <c r="O120" i="56"/>
  <c r="F39" i="55"/>
  <c r="E4208" i="57"/>
  <c r="E4262" i="57" s="1"/>
  <c r="I4050" i="57"/>
  <c r="L116" i="56"/>
  <c r="Q116" i="56"/>
  <c r="R116" i="56"/>
  <c r="P116" i="56"/>
  <c r="E4217" i="57"/>
  <c r="E137" i="56"/>
  <c r="D90" i="55"/>
  <c r="M137" i="56"/>
  <c r="S129" i="56"/>
  <c r="U129" i="56"/>
  <c r="T129" i="56"/>
  <c r="V129" i="56"/>
  <c r="P134" i="56"/>
  <c r="R134" i="56"/>
  <c r="Q134" i="56"/>
  <c r="I4058" i="57"/>
  <c r="F126" i="56"/>
  <c r="G41" i="55"/>
  <c r="D126" i="56"/>
  <c r="F134" i="56"/>
  <c r="G44" i="55"/>
  <c r="D134" i="56"/>
  <c r="P124" i="56"/>
  <c r="Q124" i="56"/>
  <c r="R124" i="56"/>
  <c r="I4020" i="57"/>
  <c r="L114" i="56"/>
  <c r="P114" i="56"/>
  <c r="Q114" i="56"/>
  <c r="R114" i="56"/>
  <c r="E4207" i="57"/>
  <c r="E4261" i="57" s="1"/>
  <c r="L126" i="56"/>
  <c r="R126" i="56"/>
  <c r="P126" i="56"/>
  <c r="Q126" i="56"/>
  <c r="I4049" i="57"/>
  <c r="E91" i="55"/>
  <c r="N142" i="56"/>
  <c r="Q144" i="56"/>
  <c r="R144" i="56"/>
  <c r="P144" i="56"/>
  <c r="I4054" i="57"/>
  <c r="I29" i="55"/>
  <c r="H84" i="56"/>
  <c r="E4215" i="57"/>
  <c r="E4269" i="57" s="1"/>
  <c r="E4411" i="57" s="1"/>
  <c r="I3998" i="57"/>
  <c r="E120" i="56"/>
  <c r="D39" i="55"/>
  <c r="M120" i="56"/>
  <c r="Q127" i="56"/>
  <c r="P127" i="56"/>
  <c r="R127" i="56"/>
  <c r="L111" i="56"/>
  <c r="Q111" i="56"/>
  <c r="P111" i="56"/>
  <c r="R111" i="56"/>
  <c r="F121" i="56"/>
  <c r="G66" i="55"/>
  <c r="D121" i="56"/>
  <c r="E4211" i="57"/>
  <c r="E4265" i="57" s="1"/>
  <c r="M109" i="56"/>
  <c r="D84" i="55"/>
  <c r="E109" i="56"/>
  <c r="I4041" i="57"/>
  <c r="H79" i="56"/>
  <c r="I76" i="55"/>
  <c r="D45" i="55"/>
  <c r="M136" i="56"/>
  <c r="E136" i="56"/>
  <c r="E4210" i="57"/>
  <c r="E4264" i="57" s="1"/>
  <c r="I4029" i="57"/>
  <c r="E4213" i="57"/>
  <c r="E4267" i="57" s="1"/>
  <c r="I4069" i="57"/>
  <c r="F127" i="56"/>
  <c r="G88" i="55"/>
  <c r="D127" i="56"/>
  <c r="B4485" i="57"/>
  <c r="D141" i="56" s="1"/>
  <c r="B4486" i="57"/>
  <c r="D142" i="56" s="1"/>
  <c r="I4025" i="57"/>
  <c r="I3973" i="57"/>
  <c r="M122" i="56"/>
  <c r="E122" i="56"/>
  <c r="D87" i="55"/>
  <c r="G87" i="55"/>
  <c r="F122" i="56"/>
  <c r="D122" i="56"/>
  <c r="M108" i="56"/>
  <c r="E108" i="56"/>
  <c r="D64" i="55"/>
  <c r="F4219" i="57"/>
  <c r="O121" i="56"/>
  <c r="F66" i="55"/>
  <c r="U118" i="56"/>
  <c r="V118" i="56"/>
  <c r="T118" i="56"/>
  <c r="S118" i="56"/>
  <c r="I3971" i="57"/>
  <c r="F4220" i="57"/>
  <c r="F4274" i="57" s="1"/>
  <c r="H78" i="56"/>
  <c r="I58" i="55"/>
  <c r="G47" i="55"/>
  <c r="F141" i="56"/>
  <c r="E89" i="55"/>
  <c r="N132" i="56"/>
  <c r="E174" i="38"/>
  <c r="C174" i="37"/>
  <c r="C174" i="38"/>
  <c r="B174" i="36"/>
  <c r="B174" i="38"/>
  <c r="E174" i="35"/>
  <c r="E174" i="37"/>
  <c r="E174" i="36"/>
  <c r="C174" i="35"/>
  <c r="C174" i="36"/>
  <c r="B174" i="37"/>
  <c r="B174" i="35"/>
  <c r="C174" i="34"/>
  <c r="B174" i="34"/>
  <c r="B134" i="41"/>
  <c r="E174" i="34"/>
  <c r="I3984" i="57" l="1"/>
  <c r="I4023" i="57"/>
  <c r="I4051" i="57"/>
  <c r="I4055" i="57"/>
  <c r="I4047" i="57"/>
  <c r="I4043" i="57"/>
  <c r="I4035" i="57"/>
  <c r="I3980" i="57"/>
  <c r="I4061" i="57"/>
  <c r="I4010" i="57"/>
  <c r="I4008" i="57"/>
  <c r="I4018" i="57"/>
  <c r="I3996" i="57"/>
  <c r="I3988" i="57"/>
  <c r="I3987" i="57"/>
  <c r="I4027" i="57"/>
  <c r="I4048" i="57"/>
  <c r="I4057" i="57"/>
  <c r="I4056" i="57"/>
  <c r="I4012" i="57"/>
  <c r="I4046" i="57"/>
  <c r="I3992" i="57"/>
  <c r="I4060" i="57"/>
  <c r="I3997" i="57"/>
  <c r="I4052" i="57"/>
  <c r="I3972" i="57"/>
  <c r="I3976" i="57"/>
  <c r="I4062" i="57"/>
  <c r="I3977" i="57"/>
  <c r="I4053" i="57"/>
  <c r="I3979" i="57"/>
  <c r="I4044" i="57"/>
  <c r="I4022" i="57"/>
  <c r="I4009" i="57"/>
  <c r="I4042" i="57"/>
  <c r="I3974" i="57"/>
  <c r="I4040" i="57"/>
  <c r="I4019" i="57"/>
  <c r="I4026" i="57"/>
  <c r="I3994" i="57"/>
  <c r="I4030" i="57"/>
  <c r="I4034" i="57"/>
  <c r="I4015" i="57"/>
  <c r="I3981" i="57"/>
  <c r="I4068" i="57"/>
  <c r="I4064" i="57"/>
  <c r="I3986" i="57"/>
  <c r="I4067" i="57"/>
  <c r="I3985" i="57"/>
  <c r="I3975" i="57"/>
  <c r="I4006" i="57"/>
  <c r="I3978" i="57"/>
  <c r="I3991" i="57"/>
  <c r="I4001" i="57"/>
  <c r="I3982" i="57"/>
  <c r="I4014" i="57"/>
  <c r="I4059" i="57"/>
  <c r="I4017" i="57"/>
  <c r="I4005" i="57"/>
  <c r="I3995" i="57"/>
  <c r="I4063" i="57"/>
  <c r="I4045" i="57"/>
  <c r="I4013" i="57"/>
  <c r="I4004" i="57"/>
  <c r="I3989" i="57"/>
  <c r="I3983" i="57"/>
  <c r="I4028" i="57"/>
  <c r="I3999" i="57"/>
  <c r="I4036" i="57"/>
  <c r="I4021" i="57"/>
  <c r="I4039" i="57"/>
  <c r="I3990" i="57"/>
  <c r="I4011" i="57"/>
  <c r="I3993" i="57"/>
  <c r="I4033" i="57"/>
  <c r="I4065" i="57"/>
  <c r="I4031" i="57"/>
  <c r="I4024" i="57"/>
  <c r="I4007" i="57"/>
  <c r="I4003" i="57"/>
  <c r="I4002" i="57"/>
  <c r="I4032" i="57"/>
  <c r="J142" i="56"/>
  <c r="K142" i="56"/>
  <c r="U142" i="56"/>
  <c r="T142" i="56"/>
  <c r="S142" i="56"/>
  <c r="V142" i="56"/>
  <c r="E4399" i="57"/>
  <c r="E4397" i="57"/>
  <c r="E4398" i="57"/>
  <c r="E4381" i="57"/>
  <c r="E4382" i="57"/>
  <c r="E4383" i="57"/>
  <c r="V122" i="56"/>
  <c r="T122" i="56"/>
  <c r="S122" i="56"/>
  <c r="U122" i="56"/>
  <c r="R136" i="56"/>
  <c r="P136" i="56"/>
  <c r="Q136" i="56"/>
  <c r="L136" i="56"/>
  <c r="V121" i="56"/>
  <c r="U121" i="56"/>
  <c r="S121" i="56"/>
  <c r="T121" i="56"/>
  <c r="J126" i="56"/>
  <c r="K126" i="56"/>
  <c r="S126" i="56"/>
  <c r="V126" i="56"/>
  <c r="U126" i="56"/>
  <c r="T126" i="56"/>
  <c r="R137" i="56"/>
  <c r="P137" i="56"/>
  <c r="Q137" i="56"/>
  <c r="L137" i="56"/>
  <c r="F65" i="56"/>
  <c r="G23" i="55"/>
  <c r="D112" i="56"/>
  <c r="F112" i="56"/>
  <c r="G85" i="55"/>
  <c r="D115" i="56"/>
  <c r="G65" i="55"/>
  <c r="F115" i="56"/>
  <c r="F108" i="56"/>
  <c r="D108" i="56"/>
  <c r="G64" i="55"/>
  <c r="G58" i="55"/>
  <c r="F78" i="56"/>
  <c r="H58" i="55"/>
  <c r="G78" i="56"/>
  <c r="J141" i="56"/>
  <c r="K141" i="56"/>
  <c r="T141" i="56"/>
  <c r="V141" i="56"/>
  <c r="U141" i="56"/>
  <c r="S141" i="56"/>
  <c r="J4022" i="57"/>
  <c r="K4022" i="57" s="1"/>
  <c r="J3998" i="57"/>
  <c r="K3998" i="57" s="1"/>
  <c r="J3981" i="57"/>
  <c r="K3981" i="57" s="1"/>
  <c r="J3999" i="57"/>
  <c r="K3999" i="57" s="1"/>
  <c r="J3971" i="57"/>
  <c r="J4064" i="57"/>
  <c r="K4064" i="57" s="1"/>
  <c r="J3979" i="57"/>
  <c r="K3979" i="57" s="1"/>
  <c r="J4026" i="57"/>
  <c r="K4026" i="57" s="1"/>
  <c r="P108" i="56"/>
  <c r="R108" i="56"/>
  <c r="Q108" i="56"/>
  <c r="L108" i="56"/>
  <c r="R122" i="56"/>
  <c r="P122" i="56"/>
  <c r="Q122" i="56"/>
  <c r="E142" i="56"/>
  <c r="D91" i="55"/>
  <c r="M142" i="56"/>
  <c r="L120" i="56"/>
  <c r="P120" i="56"/>
  <c r="R120" i="56"/>
  <c r="Q120" i="56"/>
  <c r="E4386" i="57"/>
  <c r="E4387" i="57"/>
  <c r="E4385" i="57"/>
  <c r="O132" i="56"/>
  <c r="F89" i="55"/>
  <c r="E132" i="56"/>
  <c r="D132" i="56"/>
  <c r="F77" i="56"/>
  <c r="G27" i="55"/>
  <c r="H160" i="56"/>
  <c r="J120" i="56"/>
  <c r="K120" i="56"/>
  <c r="T120" i="56"/>
  <c r="V120" i="56"/>
  <c r="U120" i="56"/>
  <c r="S120" i="56"/>
  <c r="P121" i="56"/>
  <c r="R121" i="56"/>
  <c r="Q121" i="56"/>
  <c r="H76" i="55"/>
  <c r="G79" i="56"/>
  <c r="F4273" i="57"/>
  <c r="E141" i="56"/>
  <c r="M141" i="56"/>
  <c r="D47" i="55"/>
  <c r="B4363" i="57"/>
  <c r="C3830" i="57"/>
  <c r="B3930" i="57" s="1"/>
  <c r="B3941" i="57" s="1"/>
  <c r="G37" i="55"/>
  <c r="F114" i="56"/>
  <c r="D114" i="56"/>
  <c r="G35" i="55"/>
  <c r="F107" i="56"/>
  <c r="D107" i="56"/>
  <c r="O131" i="56"/>
  <c r="F43" i="55"/>
  <c r="D131" i="56"/>
  <c r="E131" i="56"/>
  <c r="K137" i="56"/>
  <c r="J137" i="56"/>
  <c r="U137" i="56"/>
  <c r="V137" i="56"/>
  <c r="T137" i="56"/>
  <c r="S137" i="56"/>
  <c r="Q107" i="56"/>
  <c r="R107" i="56"/>
  <c r="P107" i="56"/>
  <c r="L107" i="56"/>
  <c r="F4428" i="57"/>
  <c r="F4429" i="57"/>
  <c r="U127" i="56"/>
  <c r="S127" i="56"/>
  <c r="T127" i="56"/>
  <c r="V127" i="56"/>
  <c r="E4407" i="57"/>
  <c r="E4405" i="57"/>
  <c r="E4406" i="57"/>
  <c r="E4395" i="57"/>
  <c r="E4393" i="57"/>
  <c r="E4394" i="57"/>
  <c r="R109" i="56"/>
  <c r="P109" i="56"/>
  <c r="Q109" i="56"/>
  <c r="G24" i="55"/>
  <c r="F67" i="56"/>
  <c r="T134" i="56"/>
  <c r="V134" i="56"/>
  <c r="U134" i="56"/>
  <c r="S134" i="56"/>
  <c r="E4271" i="57"/>
  <c r="U136" i="56"/>
  <c r="T136" i="56"/>
  <c r="S136" i="56"/>
  <c r="V136" i="56"/>
  <c r="K136" i="56"/>
  <c r="J136" i="56"/>
  <c r="D111" i="56"/>
  <c r="F111" i="56"/>
  <c r="G36" i="55"/>
  <c r="F116" i="56"/>
  <c r="D116" i="56"/>
  <c r="G86" i="55"/>
  <c r="F109" i="56"/>
  <c r="D109" i="56"/>
  <c r="G84" i="55"/>
  <c r="F79" i="56"/>
  <c r="G76" i="55"/>
  <c r="E4270" i="57"/>
  <c r="H27" i="55"/>
  <c r="G77" i="56"/>
  <c r="E175" i="37"/>
  <c r="C175" i="37"/>
  <c r="C175" i="36"/>
  <c r="B175" i="35"/>
  <c r="E175" i="38"/>
  <c r="B175" i="37"/>
  <c r="B175" i="36"/>
  <c r="C175" i="38"/>
  <c r="E175" i="35"/>
  <c r="B175" i="38"/>
  <c r="E175" i="36"/>
  <c r="C175" i="35"/>
  <c r="C175" i="34"/>
  <c r="B135" i="41"/>
  <c r="B136" i="41" s="1"/>
  <c r="E175" i="34"/>
  <c r="B175" i="34"/>
  <c r="J4047" i="57" l="1"/>
  <c r="K4047" i="57" s="1"/>
  <c r="J4023" i="57"/>
  <c r="K4023" i="57" s="1"/>
  <c r="J4000" i="57"/>
  <c r="K4000" i="57" s="1"/>
  <c r="J4068" i="57"/>
  <c r="K4068" i="57" s="1"/>
  <c r="J4061" i="57"/>
  <c r="K4061" i="57" s="1"/>
  <c r="J4018" i="57"/>
  <c r="K4018" i="57" s="1"/>
  <c r="J4051" i="57"/>
  <c r="K4051" i="57" s="1"/>
  <c r="J3990" i="57"/>
  <c r="K3990" i="57" s="1"/>
  <c r="J3978" i="57"/>
  <c r="K3978" i="57" s="1"/>
  <c r="J3989" i="57"/>
  <c r="K3989" i="57" s="1"/>
  <c r="J4039" i="57"/>
  <c r="K4039" i="57" s="1"/>
  <c r="J3973" i="57"/>
  <c r="K3973" i="57" s="1"/>
  <c r="J4029" i="57"/>
  <c r="K4029" i="57" s="1"/>
  <c r="J4007" i="57"/>
  <c r="K4007" i="57" s="1"/>
  <c r="J4060" i="57"/>
  <c r="K4060" i="57" s="1"/>
  <c r="J4002" i="57"/>
  <c r="K4002" i="57" s="1"/>
  <c r="J3991" i="57"/>
  <c r="K3991" i="57" s="1"/>
  <c r="J3974" i="57"/>
  <c r="K3974" i="57" s="1"/>
  <c r="J4035" i="57"/>
  <c r="K4035" i="57" s="1"/>
  <c r="J4030" i="57"/>
  <c r="K4030" i="57" s="1"/>
  <c r="J4032" i="57"/>
  <c r="K4032" i="57" s="1"/>
  <c r="J4025" i="57"/>
  <c r="K4025" i="57" s="1"/>
  <c r="J3976" i="57"/>
  <c r="K3976" i="57" s="1"/>
  <c r="J4044" i="57"/>
  <c r="K4044" i="57" s="1"/>
  <c r="J4067" i="57"/>
  <c r="K4067" i="57" s="1"/>
  <c r="J4009" i="57"/>
  <c r="K4009" i="57" s="1"/>
  <c r="J4062" i="57"/>
  <c r="K4062" i="57" s="1"/>
  <c r="J3985" i="57"/>
  <c r="K3985" i="57" s="1"/>
  <c r="J4041" i="57"/>
  <c r="K4041" i="57" s="1"/>
  <c r="J4038" i="57"/>
  <c r="K4038" i="57" s="1"/>
  <c r="J3997" i="57"/>
  <c r="K3997" i="57" s="1"/>
  <c r="J4049" i="57"/>
  <c r="K4049" i="57" s="1"/>
  <c r="J4036" i="57"/>
  <c r="K4036" i="57" s="1"/>
  <c r="J4006" i="57"/>
  <c r="K4006" i="57" s="1"/>
  <c r="J4010" i="57"/>
  <c r="K4010" i="57" s="1"/>
  <c r="J4055" i="57"/>
  <c r="K4055" i="57" s="1"/>
  <c r="J4011" i="57"/>
  <c r="K4011" i="57" s="1"/>
  <c r="J3975" i="57"/>
  <c r="K3975" i="57" s="1"/>
  <c r="J4043" i="57"/>
  <c r="K4043" i="57" s="1"/>
  <c r="J3980" i="57"/>
  <c r="K3980" i="57" s="1"/>
  <c r="J4040" i="57"/>
  <c r="K4040" i="57" s="1"/>
  <c r="J3977" i="57"/>
  <c r="K3977" i="57" s="1"/>
  <c r="J4027" i="57"/>
  <c r="K4027" i="57" s="1"/>
  <c r="J4033" i="57"/>
  <c r="K4033" i="57" s="1"/>
  <c r="J4053" i="57"/>
  <c r="K4053" i="57" s="1"/>
  <c r="J4021" i="57"/>
  <c r="K4021" i="57" s="1"/>
  <c r="J4019" i="57"/>
  <c r="K4019" i="57" s="1"/>
  <c r="J3984" i="57"/>
  <c r="K3984" i="57" s="1"/>
  <c r="J4063" i="57"/>
  <c r="K4063" i="57" s="1"/>
  <c r="J4016" i="57"/>
  <c r="K4016" i="57" s="1"/>
  <c r="J4004" i="57"/>
  <c r="K4004" i="57" s="1"/>
  <c r="J3993" i="57"/>
  <c r="K3993" i="57" s="1"/>
  <c r="J3994" i="57"/>
  <c r="K3994" i="57" s="1"/>
  <c r="J4034" i="57"/>
  <c r="K4034" i="57" s="1"/>
  <c r="J4056" i="57"/>
  <c r="K4056" i="57" s="1"/>
  <c r="J4012" i="57"/>
  <c r="K4012" i="57" s="1"/>
  <c r="J4059" i="57"/>
  <c r="K4059" i="57" s="1"/>
  <c r="J3982" i="57"/>
  <c r="K3982" i="57" s="1"/>
  <c r="J4003" i="57"/>
  <c r="K4003" i="57" s="1"/>
  <c r="J4066" i="57"/>
  <c r="K4066" i="57" s="1"/>
  <c r="J3995" i="57"/>
  <c r="K3995" i="57" s="1"/>
  <c r="J4020" i="57"/>
  <c r="K4020" i="57" s="1"/>
  <c r="J4028" i="57"/>
  <c r="K4028" i="57" s="1"/>
  <c r="J4058" i="57"/>
  <c r="K4058" i="57" s="1"/>
  <c r="J3988" i="57"/>
  <c r="K3988" i="57" s="1"/>
  <c r="J4046" i="57"/>
  <c r="K4046" i="57" s="1"/>
  <c r="J3983" i="57"/>
  <c r="K3983" i="57" s="1"/>
  <c r="J3987" i="57"/>
  <c r="K3987" i="57" s="1"/>
  <c r="J4045" i="57"/>
  <c r="K4045" i="57" s="1"/>
  <c r="J3996" i="57"/>
  <c r="K3996" i="57" s="1"/>
  <c r="J4031" i="57"/>
  <c r="K4031" i="57" s="1"/>
  <c r="J3972" i="57"/>
  <c r="K3972" i="57" s="1"/>
  <c r="J4065" i="57"/>
  <c r="K4065" i="57" s="1"/>
  <c r="J4052" i="57"/>
  <c r="K4052" i="57" s="1"/>
  <c r="J4024" i="57"/>
  <c r="K4024" i="57" s="1"/>
  <c r="J4014" i="57"/>
  <c r="K4014" i="57" s="1"/>
  <c r="J4017" i="57"/>
  <c r="K4017" i="57" s="1"/>
  <c r="J4048" i="57"/>
  <c r="K4048" i="57" s="1"/>
  <c r="J4042" i="57"/>
  <c r="K4042" i="57" s="1"/>
  <c r="J4005" i="57"/>
  <c r="K4005" i="57" s="1"/>
  <c r="J4054" i="57"/>
  <c r="K4054" i="57" s="1"/>
  <c r="J3992" i="57"/>
  <c r="K3992" i="57" s="1"/>
  <c r="J4001" i="57"/>
  <c r="K4001" i="57" s="1"/>
  <c r="J4050" i="57"/>
  <c r="K4050" i="57" s="1"/>
  <c r="J4037" i="57"/>
  <c r="K4037" i="57" s="1"/>
  <c r="J4015" i="57"/>
  <c r="K4015" i="57" s="1"/>
  <c r="J4008" i="57"/>
  <c r="K4008" i="57" s="1"/>
  <c r="J3986" i="57"/>
  <c r="K3986" i="57" s="1"/>
  <c r="J4057" i="57"/>
  <c r="K4057" i="57" s="1"/>
  <c r="J4069" i="57"/>
  <c r="K4069" i="57" s="1"/>
  <c r="J4013" i="57"/>
  <c r="K4013" i="57" s="1"/>
  <c r="E4414" i="57"/>
  <c r="E4415" i="57"/>
  <c r="E4413" i="57"/>
  <c r="J116" i="56"/>
  <c r="K116" i="56"/>
  <c r="T116" i="56"/>
  <c r="S116" i="56"/>
  <c r="V116" i="56"/>
  <c r="U116" i="56"/>
  <c r="J111" i="56"/>
  <c r="K111" i="56"/>
  <c r="V111" i="56"/>
  <c r="T111" i="56"/>
  <c r="S111" i="56"/>
  <c r="U111" i="56"/>
  <c r="F51" i="56"/>
  <c r="G70" i="55"/>
  <c r="H78" i="55"/>
  <c r="G85" i="56"/>
  <c r="L131" i="56"/>
  <c r="R131" i="56"/>
  <c r="P131" i="56"/>
  <c r="Q131" i="56"/>
  <c r="K107" i="56"/>
  <c r="J107" i="56"/>
  <c r="U107" i="56"/>
  <c r="V107" i="56"/>
  <c r="T107" i="56"/>
  <c r="S107" i="56"/>
  <c r="F4426" i="57"/>
  <c r="F4425" i="57"/>
  <c r="G50" i="55"/>
  <c r="F42" i="56"/>
  <c r="F39" i="56"/>
  <c r="G67" i="55"/>
  <c r="F53" i="56"/>
  <c r="G20" i="55"/>
  <c r="V109" i="56"/>
  <c r="U109" i="56"/>
  <c r="S109" i="56"/>
  <c r="T109" i="56"/>
  <c r="G55" i="55"/>
  <c r="F62" i="56"/>
  <c r="H29" i="55"/>
  <c r="G84" i="56"/>
  <c r="J131" i="56"/>
  <c r="K131" i="56"/>
  <c r="S131" i="56"/>
  <c r="U131" i="56"/>
  <c r="V131" i="56"/>
  <c r="T131" i="56"/>
  <c r="S132" i="56"/>
  <c r="V132" i="56"/>
  <c r="U132" i="56"/>
  <c r="T132" i="56"/>
  <c r="S112" i="56"/>
  <c r="T112" i="56"/>
  <c r="V112" i="56"/>
  <c r="U112" i="56"/>
  <c r="F38" i="56"/>
  <c r="G49" i="55"/>
  <c r="F55" i="56"/>
  <c r="G71" i="55"/>
  <c r="F50" i="56"/>
  <c r="G52" i="55"/>
  <c r="F61" i="56"/>
  <c r="G22" i="55"/>
  <c r="E4028" i="57"/>
  <c r="E3994" i="57"/>
  <c r="E4053" i="57"/>
  <c r="E3978" i="57"/>
  <c r="E4041" i="57"/>
  <c r="E4062" i="57"/>
  <c r="E4068" i="57"/>
  <c r="E3995" i="57"/>
  <c r="E4052" i="57"/>
  <c r="E3981" i="57"/>
  <c r="E4054" i="57"/>
  <c r="E4027" i="57"/>
  <c r="E4036" i="57"/>
  <c r="E4003" i="57"/>
  <c r="E4017" i="57"/>
  <c r="E3988" i="57"/>
  <c r="E3977" i="57"/>
  <c r="E3997" i="57"/>
  <c r="E4025" i="57"/>
  <c r="E4061" i="57"/>
  <c r="E4042" i="57"/>
  <c r="E4057" i="57"/>
  <c r="E4045" i="57"/>
  <c r="E4055" i="57"/>
  <c r="E3979" i="57"/>
  <c r="B3970" i="57"/>
  <c r="K3970" i="57" s="1"/>
  <c r="E4024" i="57"/>
  <c r="E3992" i="57"/>
  <c r="E4050" i="57"/>
  <c r="E3975" i="57"/>
  <c r="E3987" i="57"/>
  <c r="E4056" i="57"/>
  <c r="E4026" i="57"/>
  <c r="E4067" i="57"/>
  <c r="E3980" i="57"/>
  <c r="E4043" i="57"/>
  <c r="E4004" i="57"/>
  <c r="E4002" i="57"/>
  <c r="E4033" i="57"/>
  <c r="E4065" i="57"/>
  <c r="E4044" i="57"/>
  <c r="E3976" i="57"/>
  <c r="E4016" i="57"/>
  <c r="E4029" i="57"/>
  <c r="E4001" i="57"/>
  <c r="E4058" i="57"/>
  <c r="E3974" i="57"/>
  <c r="E4018" i="57"/>
  <c r="E3989" i="57"/>
  <c r="E4012" i="57"/>
  <c r="E3990" i="57"/>
  <c r="E4060" i="57"/>
  <c r="E4032" i="57"/>
  <c r="E4021" i="57"/>
  <c r="E4046" i="57"/>
  <c r="E3986" i="57"/>
  <c r="E4031" i="57"/>
  <c r="E4066" i="57"/>
  <c r="E4015" i="57"/>
  <c r="E4019" i="57"/>
  <c r="E4048" i="57"/>
  <c r="E3971" i="57"/>
  <c r="E4034" i="57"/>
  <c r="E3999" i="57"/>
  <c r="E4064" i="57"/>
  <c r="E4009" i="57"/>
  <c r="E4008" i="57"/>
  <c r="E3973" i="57"/>
  <c r="E4039" i="57"/>
  <c r="E4047" i="57"/>
  <c r="E3982" i="57"/>
  <c r="E4030" i="57"/>
  <c r="E3993" i="57"/>
  <c r="E4005" i="57"/>
  <c r="E3972" i="57"/>
  <c r="E4069" i="57"/>
  <c r="E4023" i="57"/>
  <c r="E4059" i="57"/>
  <c r="E4049" i="57"/>
  <c r="E3983" i="57"/>
  <c r="E4040" i="57"/>
  <c r="E3998" i="57"/>
  <c r="E3991" i="57"/>
  <c r="E4020" i="57"/>
  <c r="E4011" i="57"/>
  <c r="E3984" i="57"/>
  <c r="E4007" i="57"/>
  <c r="E4000" i="57"/>
  <c r="E4035" i="57"/>
  <c r="E4006" i="57"/>
  <c r="E4037" i="57"/>
  <c r="E4014" i="57"/>
  <c r="E4063" i="57"/>
  <c r="E4010" i="57"/>
  <c r="E4051" i="57"/>
  <c r="E3996" i="57"/>
  <c r="E4013" i="57"/>
  <c r="E3985" i="57"/>
  <c r="E4038" i="57"/>
  <c r="E4022" i="57"/>
  <c r="Q132" i="56"/>
  <c r="R132" i="56"/>
  <c r="P132" i="56"/>
  <c r="G17" i="55"/>
  <c r="F41" i="56"/>
  <c r="K3971" i="57"/>
  <c r="L3971" i="57"/>
  <c r="L3972" i="57" s="1"/>
  <c r="L3973" i="57" s="1"/>
  <c r="L3974" i="57" s="1"/>
  <c r="L3975" i="57" s="1"/>
  <c r="L3976" i="57" s="1"/>
  <c r="L3977" i="57" s="1"/>
  <c r="L3978" i="57" s="1"/>
  <c r="L3979" i="57" s="1"/>
  <c r="L3980" i="57" s="1"/>
  <c r="L3981" i="57" s="1"/>
  <c r="L3982" i="57" s="1"/>
  <c r="L3983" i="57" s="1"/>
  <c r="L3984" i="57" s="1"/>
  <c r="L3985" i="57" s="1"/>
  <c r="L3986" i="57" s="1"/>
  <c r="L3987" i="57" s="1"/>
  <c r="L3988" i="57" s="1"/>
  <c r="L3989" i="57" s="1"/>
  <c r="L3990" i="57" s="1"/>
  <c r="L3991" i="57" s="1"/>
  <c r="L3992" i="57" s="1"/>
  <c r="L3993" i="57" s="1"/>
  <c r="L3994" i="57" s="1"/>
  <c r="L3995" i="57" s="1"/>
  <c r="L3996" i="57" s="1"/>
  <c r="L3997" i="57" s="1"/>
  <c r="L3998" i="57" s="1"/>
  <c r="L3999" i="57" s="1"/>
  <c r="L4000" i="57" s="1"/>
  <c r="L4001" i="57" s="1"/>
  <c r="L4002" i="57" s="1"/>
  <c r="L4003" i="57" s="1"/>
  <c r="L4004" i="57" s="1"/>
  <c r="L4005" i="57" s="1"/>
  <c r="L4006" i="57" s="1"/>
  <c r="L4007" i="57" s="1"/>
  <c r="L4008" i="57" s="1"/>
  <c r="L4009" i="57" s="1"/>
  <c r="L4010" i="57" s="1"/>
  <c r="L4011" i="57" s="1"/>
  <c r="L4012" i="57" s="1"/>
  <c r="L4013" i="57" s="1"/>
  <c r="L4014" i="57" s="1"/>
  <c r="L4015" i="57" s="1"/>
  <c r="L4016" i="57" s="1"/>
  <c r="L4017" i="57" s="1"/>
  <c r="L4018" i="57" s="1"/>
  <c r="L4019" i="57" s="1"/>
  <c r="L4020" i="57" s="1"/>
  <c r="L4021" i="57" s="1"/>
  <c r="L4022" i="57" s="1"/>
  <c r="L4023" i="57" s="1"/>
  <c r="L4024" i="57" s="1"/>
  <c r="L4025" i="57" s="1"/>
  <c r="L4026" i="57" s="1"/>
  <c r="L4027" i="57" s="1"/>
  <c r="L4028" i="57" s="1"/>
  <c r="L4029" i="57" s="1"/>
  <c r="L4030" i="57" s="1"/>
  <c r="L4031" i="57" s="1"/>
  <c r="L4032" i="57" s="1"/>
  <c r="L4033" i="57" s="1"/>
  <c r="L4034" i="57" s="1"/>
  <c r="L4035" i="57" s="1"/>
  <c r="L4036" i="57" s="1"/>
  <c r="L4037" i="57" s="1"/>
  <c r="L4038" i="57" s="1"/>
  <c r="L4039" i="57" s="1"/>
  <c r="L4040" i="57" s="1"/>
  <c r="L4041" i="57" s="1"/>
  <c r="L4042" i="57" s="1"/>
  <c r="L4043" i="57" s="1"/>
  <c r="L4044" i="57" s="1"/>
  <c r="L4045" i="57" s="1"/>
  <c r="L4046" i="57" s="1"/>
  <c r="L4047" i="57" s="1"/>
  <c r="L4048" i="57" s="1"/>
  <c r="L4049" i="57" s="1"/>
  <c r="L4050" i="57" s="1"/>
  <c r="L4051" i="57" s="1"/>
  <c r="L4052" i="57" s="1"/>
  <c r="L4053" i="57" s="1"/>
  <c r="L4054" i="57" s="1"/>
  <c r="L4055" i="57" s="1"/>
  <c r="L4056" i="57" s="1"/>
  <c r="L4057" i="57" s="1"/>
  <c r="L4058" i="57" s="1"/>
  <c r="L4059" i="57" s="1"/>
  <c r="L4060" i="57" s="1"/>
  <c r="L4061" i="57" s="1"/>
  <c r="L4062" i="57" s="1"/>
  <c r="L4063" i="57" s="1"/>
  <c r="L4064" i="57" s="1"/>
  <c r="L4065" i="57" s="1"/>
  <c r="L4066" i="57" s="1"/>
  <c r="L4067" i="57" s="1"/>
  <c r="L4068" i="57" s="1"/>
  <c r="L4069" i="57" s="1"/>
  <c r="J108" i="56"/>
  <c r="V108" i="56"/>
  <c r="U108" i="56"/>
  <c r="T108" i="56"/>
  <c r="S108" i="56"/>
  <c r="V115" i="56"/>
  <c r="S115" i="56"/>
  <c r="T115" i="56"/>
  <c r="U115" i="56"/>
  <c r="F37" i="56"/>
  <c r="G16" i="55"/>
  <c r="E4419" i="57"/>
  <c r="E4417" i="57"/>
  <c r="E4418" i="57"/>
  <c r="F49" i="56"/>
  <c r="G19" i="55"/>
  <c r="F63" i="56"/>
  <c r="G73" i="55"/>
  <c r="J114" i="56"/>
  <c r="K114" i="56"/>
  <c r="U114" i="56"/>
  <c r="T114" i="56"/>
  <c r="S114" i="56"/>
  <c r="V114" i="56"/>
  <c r="L141" i="56"/>
  <c r="Q141" i="56"/>
  <c r="P141" i="56"/>
  <c r="R141" i="56"/>
  <c r="F43" i="56"/>
  <c r="G68" i="55"/>
  <c r="L142" i="56"/>
  <c r="P142" i="56"/>
  <c r="R142" i="56"/>
  <c r="Q142" i="56"/>
  <c r="F54" i="56"/>
  <c r="G53" i="55"/>
  <c r="B177" i="38"/>
  <c r="C177" i="38"/>
  <c r="E177" i="36"/>
  <c r="C177" i="35"/>
  <c r="E177" i="37"/>
  <c r="C177" i="36"/>
  <c r="B177" i="35"/>
  <c r="C177" i="37"/>
  <c r="B177" i="36"/>
  <c r="E177" i="35"/>
  <c r="B177" i="37"/>
  <c r="E177" i="38"/>
  <c r="C177" i="34"/>
  <c r="B177" i="34"/>
  <c r="B137" i="41"/>
  <c r="B138" i="41" s="1"/>
  <c r="E177" i="34"/>
  <c r="F75" i="56" l="1"/>
  <c r="G75" i="55"/>
  <c r="M3970" i="57"/>
  <c r="H77" i="55"/>
  <c r="G82" i="56"/>
  <c r="F69" i="56"/>
  <c r="G25" i="55"/>
  <c r="G74" i="55"/>
  <c r="F71" i="56"/>
  <c r="G57" i="55"/>
  <c r="F74" i="56"/>
  <c r="G26" i="55"/>
  <c r="F73" i="56"/>
  <c r="G81" i="56"/>
  <c r="G160" i="56" s="1"/>
  <c r="H28" i="55"/>
  <c r="F70" i="56"/>
  <c r="G56" i="55"/>
  <c r="C179" i="38"/>
  <c r="B179" i="37"/>
  <c r="C179" i="37"/>
  <c r="E179" i="35"/>
  <c r="E179" i="38"/>
  <c r="E179" i="36"/>
  <c r="C179" i="35"/>
  <c r="B179" i="38"/>
  <c r="C179" i="36"/>
  <c r="B179" i="35"/>
  <c r="E179" i="37"/>
  <c r="B179" i="36"/>
  <c r="B179" i="34"/>
  <c r="B139" i="41"/>
  <c r="B140" i="41" s="1"/>
  <c r="C179" i="34"/>
  <c r="E179" i="34"/>
  <c r="F160" i="56" l="1"/>
  <c r="M3971" i="57"/>
  <c r="M3972" i="57" s="1"/>
  <c r="D181" i="38"/>
  <c r="C181" i="37"/>
  <c r="B181" i="38"/>
  <c r="E181" i="37"/>
  <c r="B181" i="36"/>
  <c r="E181" i="35"/>
  <c r="D181" i="37"/>
  <c r="E181" i="36"/>
  <c r="D181" i="35"/>
  <c r="E181" i="38"/>
  <c r="B181" i="37"/>
  <c r="D181" i="36"/>
  <c r="C181" i="35"/>
  <c r="C181" i="38"/>
  <c r="C181" i="36"/>
  <c r="B181" i="35"/>
  <c r="E181" i="34"/>
  <c r="D181" i="34"/>
  <c r="B181" i="34"/>
  <c r="C181" i="34"/>
  <c r="B141" i="41"/>
  <c r="N3971" i="57" l="1"/>
  <c r="N3972" i="57"/>
  <c r="M3973" i="57"/>
  <c r="M3974" i="57" s="1"/>
  <c r="D182" i="38"/>
  <c r="C182" i="37"/>
  <c r="C182" i="38"/>
  <c r="B182" i="36"/>
  <c r="E182" i="35"/>
  <c r="B182" i="38"/>
  <c r="E182" i="37"/>
  <c r="E182" i="36"/>
  <c r="D182" i="35"/>
  <c r="D182" i="37"/>
  <c r="D182" i="36"/>
  <c r="C182" i="35"/>
  <c r="E182" i="38"/>
  <c r="C182" i="36"/>
  <c r="B182" i="35"/>
  <c r="B182" i="37"/>
  <c r="E182" i="34"/>
  <c r="C182" i="34"/>
  <c r="B182" i="34"/>
  <c r="B142" i="41"/>
  <c r="D182" i="34"/>
  <c r="N3973" i="57" l="1"/>
  <c r="N3974" i="57"/>
  <c r="M3975" i="57"/>
  <c r="M3976" i="57" s="1"/>
  <c r="D183" i="38"/>
  <c r="C183" i="37"/>
  <c r="E183" i="38"/>
  <c r="B183" i="37"/>
  <c r="B183" i="36"/>
  <c r="E183" i="35"/>
  <c r="C183" i="38"/>
  <c r="E183" i="36"/>
  <c r="D183" i="35"/>
  <c r="B183" i="38"/>
  <c r="E183" i="37"/>
  <c r="D183" i="36"/>
  <c r="C183" i="35"/>
  <c r="C183" i="36"/>
  <c r="B183" i="35"/>
  <c r="D183" i="37"/>
  <c r="C183" i="34"/>
  <c r="E183" i="34"/>
  <c r="B143" i="41"/>
  <c r="B144" i="41" s="1"/>
  <c r="B183" i="34"/>
  <c r="D183" i="34"/>
  <c r="N3976" i="57" l="1"/>
  <c r="M3977" i="57"/>
  <c r="M3978" i="57" s="1"/>
  <c r="N3975" i="57"/>
  <c r="D185" i="38"/>
  <c r="C185" i="37"/>
  <c r="D185" i="37"/>
  <c r="B185" i="36"/>
  <c r="E185" i="35"/>
  <c r="E185" i="38"/>
  <c r="B185" i="37"/>
  <c r="E185" i="36"/>
  <c r="D185" i="35"/>
  <c r="C185" i="38"/>
  <c r="D185" i="36"/>
  <c r="C185" i="35"/>
  <c r="B185" i="38"/>
  <c r="B185" i="35"/>
  <c r="E185" i="37"/>
  <c r="C185" i="36"/>
  <c r="B185" i="34"/>
  <c r="E185" i="34"/>
  <c r="B145" i="41"/>
  <c r="D185" i="34"/>
  <c r="C185" i="34"/>
  <c r="N3977" i="57" l="1"/>
  <c r="N3978" i="57"/>
  <c r="M3979" i="57"/>
  <c r="M3980" i="57" s="1"/>
  <c r="D186" i="38"/>
  <c r="C186" i="37"/>
  <c r="B186" i="38"/>
  <c r="E186" i="37"/>
  <c r="B186" i="36"/>
  <c r="E186" i="35"/>
  <c r="D186" i="37"/>
  <c r="E186" i="36"/>
  <c r="D186" i="35"/>
  <c r="E186" i="38"/>
  <c r="B186" i="37"/>
  <c r="D186" i="36"/>
  <c r="C186" i="35"/>
  <c r="C186" i="36"/>
  <c r="C186" i="38"/>
  <c r="B186" i="35"/>
  <c r="E186" i="34"/>
  <c r="B186" i="34"/>
  <c r="C186" i="34"/>
  <c r="D186" i="34"/>
  <c r="B146" i="41"/>
  <c r="N3979" i="57" l="1"/>
  <c r="N3980" i="57"/>
  <c r="M3981" i="57"/>
  <c r="D187" i="38"/>
  <c r="C187" i="37"/>
  <c r="C187" i="38"/>
  <c r="B187" i="36"/>
  <c r="E187" i="35"/>
  <c r="B187" i="38"/>
  <c r="E187" i="37"/>
  <c r="E187" i="36"/>
  <c r="D187" i="35"/>
  <c r="D187" i="37"/>
  <c r="D187" i="36"/>
  <c r="C187" i="35"/>
  <c r="B187" i="37"/>
  <c r="C187" i="36"/>
  <c r="E187" i="38"/>
  <c r="B187" i="35"/>
  <c r="B147" i="41"/>
  <c r="B148" i="41" s="1"/>
  <c r="B187" i="34"/>
  <c r="C187" i="34"/>
  <c r="D187" i="34"/>
  <c r="E187" i="34"/>
  <c r="N3981" i="57" l="1"/>
  <c r="M3982" i="57"/>
  <c r="N3982" i="57" s="1"/>
  <c r="H189" i="38"/>
  <c r="D189" i="38"/>
  <c r="G189" i="37"/>
  <c r="C189" i="37"/>
  <c r="E189" i="38"/>
  <c r="H189" i="37"/>
  <c r="B189" i="37"/>
  <c r="F189" i="36"/>
  <c r="B189" i="36"/>
  <c r="E189" i="35"/>
  <c r="C189" i="38"/>
  <c r="F189" i="37"/>
  <c r="E189" i="36"/>
  <c r="H189" i="35"/>
  <c r="D189" i="35"/>
  <c r="G189" i="38"/>
  <c r="B189" i="38"/>
  <c r="E189" i="37"/>
  <c r="H189" i="36"/>
  <c r="D189" i="36"/>
  <c r="G189" i="35"/>
  <c r="C189" i="35"/>
  <c r="C189" i="36"/>
  <c r="F189" i="35"/>
  <c r="F189" i="38"/>
  <c r="B189" i="35"/>
  <c r="D189" i="37"/>
  <c r="G189" i="36"/>
  <c r="B189" i="34"/>
  <c r="F189" i="34"/>
  <c r="H189" i="34"/>
  <c r="C189" i="34"/>
  <c r="D189" i="34"/>
  <c r="E189" i="34"/>
  <c r="G189" i="34"/>
  <c r="B149" i="41"/>
  <c r="M3983" i="57" l="1"/>
  <c r="M3984" i="57" s="1"/>
  <c r="E190" i="38"/>
  <c r="H190" i="37"/>
  <c r="D190" i="37"/>
  <c r="H190" i="38"/>
  <c r="C190" i="38"/>
  <c r="F190" i="37"/>
  <c r="G190" i="36"/>
  <c r="C190" i="36"/>
  <c r="F190" i="35"/>
  <c r="B190" i="35"/>
  <c r="G190" i="38"/>
  <c r="B190" i="38"/>
  <c r="E190" i="37"/>
  <c r="F190" i="36"/>
  <c r="B190" i="36"/>
  <c r="E190" i="35"/>
  <c r="F190" i="38"/>
  <c r="C190" i="37"/>
  <c r="E190" i="36"/>
  <c r="H190" i="35"/>
  <c r="D190" i="35"/>
  <c r="D190" i="38"/>
  <c r="G190" i="37"/>
  <c r="H190" i="36"/>
  <c r="B190" i="37"/>
  <c r="D190" i="36"/>
  <c r="G190" i="35"/>
  <c r="C190" i="35"/>
  <c r="F190" i="34"/>
  <c r="D190" i="34"/>
  <c r="C190" i="34"/>
  <c r="G190" i="34"/>
  <c r="B190" i="34"/>
  <c r="B150" i="41"/>
  <c r="H190" i="34"/>
  <c r="E190" i="34"/>
  <c r="N3983" i="57" l="1"/>
  <c r="N3984" i="57"/>
  <c r="M3985" i="57"/>
  <c r="F191" i="38"/>
  <c r="B191" i="38"/>
  <c r="E191" i="37"/>
  <c r="G191" i="38"/>
  <c r="D191" i="37"/>
  <c r="H191" i="36"/>
  <c r="D191" i="36"/>
  <c r="G191" i="35"/>
  <c r="C191" i="35"/>
  <c r="E191" i="38"/>
  <c r="H191" i="37"/>
  <c r="C191" i="37"/>
  <c r="G191" i="36"/>
  <c r="C191" i="36"/>
  <c r="F191" i="35"/>
  <c r="B191" i="35"/>
  <c r="D191" i="38"/>
  <c r="G191" i="37"/>
  <c r="B191" i="37"/>
  <c r="F191" i="36"/>
  <c r="B191" i="36"/>
  <c r="E191" i="35"/>
  <c r="F191" i="37"/>
  <c r="E191" i="36"/>
  <c r="H191" i="35"/>
  <c r="D191" i="35"/>
  <c r="H191" i="38"/>
  <c r="C191" i="38"/>
  <c r="B151" i="41"/>
  <c r="B152" i="41" s="1"/>
  <c r="D191" i="34"/>
  <c r="F191" i="34"/>
  <c r="H191" i="34"/>
  <c r="E191" i="34"/>
  <c r="B191" i="34"/>
  <c r="C191" i="34"/>
  <c r="G191" i="34"/>
  <c r="N3985" i="57" l="1"/>
  <c r="M3986" i="57"/>
  <c r="G193" i="38"/>
  <c r="C193" i="38"/>
  <c r="F193" i="37"/>
  <c r="B193" i="37"/>
  <c r="E193" i="38"/>
  <c r="H193" i="37"/>
  <c r="C193" i="37"/>
  <c r="E193" i="36"/>
  <c r="H193" i="35"/>
  <c r="D193" i="35"/>
  <c r="D193" i="38"/>
  <c r="G193" i="37"/>
  <c r="H193" i="36"/>
  <c r="D193" i="36"/>
  <c r="G193" i="35"/>
  <c r="C193" i="35"/>
  <c r="H193" i="38"/>
  <c r="B193" i="38"/>
  <c r="E193" i="37"/>
  <c r="G193" i="36"/>
  <c r="C193" i="36"/>
  <c r="F193" i="35"/>
  <c r="B193" i="35"/>
  <c r="F193" i="38"/>
  <c r="F193" i="36"/>
  <c r="B193" i="36"/>
  <c r="E193" i="35"/>
  <c r="D193" i="37"/>
  <c r="D193" i="34"/>
  <c r="F193" i="34"/>
  <c r="B193" i="34"/>
  <c r="B153" i="41"/>
  <c r="E193" i="34"/>
  <c r="C193" i="34"/>
  <c r="H193" i="34"/>
  <c r="G193" i="34"/>
  <c r="N3986" i="57" l="1"/>
  <c r="M3987" i="57"/>
  <c r="H194" i="38"/>
  <c r="D194" i="38"/>
  <c r="G194" i="37"/>
  <c r="C194" i="37"/>
  <c r="C194" i="38"/>
  <c r="F194" i="37"/>
  <c r="F194" i="36"/>
  <c r="B194" i="36"/>
  <c r="E194" i="35"/>
  <c r="G194" i="38"/>
  <c r="B194" i="38"/>
  <c r="E194" i="37"/>
  <c r="E194" i="36"/>
  <c r="H194" i="35"/>
  <c r="D194" i="35"/>
  <c r="F194" i="38"/>
  <c r="D194" i="37"/>
  <c r="H194" i="36"/>
  <c r="D194" i="36"/>
  <c r="G194" i="35"/>
  <c r="C194" i="35"/>
  <c r="E194" i="38"/>
  <c r="G194" i="36"/>
  <c r="H194" i="37"/>
  <c r="C194" i="36"/>
  <c r="F194" i="35"/>
  <c r="B194" i="37"/>
  <c r="B194" i="35"/>
  <c r="C194" i="34"/>
  <c r="G194" i="34"/>
  <c r="E194" i="34"/>
  <c r="B194" i="34"/>
  <c r="D194" i="34"/>
  <c r="F194" i="34"/>
  <c r="B154" i="41"/>
  <c r="B155" i="41" s="1"/>
  <c r="H194" i="34"/>
  <c r="N3987" i="57" l="1"/>
  <c r="M3988" i="57"/>
  <c r="E196" i="38"/>
  <c r="H196" i="37"/>
  <c r="D196" i="37"/>
  <c r="G196" i="38"/>
  <c r="B196" i="38"/>
  <c r="E196" i="37"/>
  <c r="G196" i="36"/>
  <c r="C196" i="36"/>
  <c r="F196" i="35"/>
  <c r="B196" i="35"/>
  <c r="F196" i="38"/>
  <c r="C196" i="37"/>
  <c r="F196" i="36"/>
  <c r="B196" i="36"/>
  <c r="E196" i="35"/>
  <c r="D196" i="38"/>
  <c r="G196" i="37"/>
  <c r="B196" i="37"/>
  <c r="E196" i="36"/>
  <c r="H196" i="35"/>
  <c r="D196" i="35"/>
  <c r="F196" i="37"/>
  <c r="C196" i="35"/>
  <c r="H196" i="38"/>
  <c r="H196" i="36"/>
  <c r="G196" i="35"/>
  <c r="D196" i="36"/>
  <c r="C196" i="38"/>
  <c r="C196" i="34"/>
  <c r="E196" i="34"/>
  <c r="G196" i="34"/>
  <c r="B156" i="41"/>
  <c r="F196" i="34"/>
  <c r="H196" i="34"/>
  <c r="B196" i="34"/>
  <c r="D196" i="34"/>
  <c r="N3988" i="57" l="1"/>
  <c r="M3989" i="57"/>
  <c r="N3989" i="57" s="1"/>
  <c r="F197" i="38"/>
  <c r="B197" i="38"/>
  <c r="E197" i="37"/>
  <c r="E197" i="38"/>
  <c r="H197" i="37"/>
  <c r="C197" i="37"/>
  <c r="H197" i="36"/>
  <c r="D197" i="36"/>
  <c r="G197" i="35"/>
  <c r="C197" i="35"/>
  <c r="D197" i="38"/>
  <c r="G197" i="37"/>
  <c r="B197" i="37"/>
  <c r="G197" i="36"/>
  <c r="C197" i="36"/>
  <c r="F197" i="35"/>
  <c r="B197" i="35"/>
  <c r="H197" i="38"/>
  <c r="C197" i="38"/>
  <c r="F197" i="37"/>
  <c r="F197" i="36"/>
  <c r="B197" i="36"/>
  <c r="E197" i="35"/>
  <c r="G197" i="38"/>
  <c r="E197" i="36"/>
  <c r="H197" i="35"/>
  <c r="D197" i="35"/>
  <c r="D197" i="37"/>
  <c r="B197" i="34"/>
  <c r="H197" i="34"/>
  <c r="F197" i="34"/>
  <c r="D197" i="34"/>
  <c r="E197" i="34"/>
  <c r="G197" i="34"/>
  <c r="C197" i="34"/>
  <c r="B157" i="41"/>
  <c r="B158" i="41" s="1"/>
  <c r="M3990" i="57" l="1"/>
  <c r="M3991" i="57" s="1"/>
  <c r="E199" i="38"/>
  <c r="B199" i="37"/>
  <c r="B199" i="38"/>
  <c r="E199" i="35"/>
  <c r="E199" i="36"/>
  <c r="B199" i="35"/>
  <c r="B199" i="36"/>
  <c r="E199" i="37"/>
  <c r="B159" i="41"/>
  <c r="E199" i="34"/>
  <c r="B199" i="34"/>
  <c r="N3991" i="57" l="1"/>
  <c r="M3992" i="57"/>
  <c r="N3990" i="57"/>
  <c r="B200" i="38"/>
  <c r="E200" i="36"/>
  <c r="B200" i="35"/>
  <c r="E200" i="37"/>
  <c r="B200" i="36"/>
  <c r="B200" i="37"/>
  <c r="E200" i="38"/>
  <c r="E200" i="35"/>
  <c r="B160" i="41"/>
  <c r="E200" i="34"/>
  <c r="B200" i="34"/>
  <c r="N3992" i="57" l="1"/>
  <c r="M3993" i="57"/>
  <c r="E201" i="38"/>
  <c r="B201" i="37"/>
  <c r="E201" i="37"/>
  <c r="E201" i="35"/>
  <c r="B201" i="38"/>
  <c r="E201" i="36"/>
  <c r="B201" i="35"/>
  <c r="B201" i="36"/>
  <c r="E201" i="34"/>
  <c r="B161" i="41"/>
  <c r="B162" i="41" s="1"/>
  <c r="B201" i="34"/>
  <c r="N3993" i="57" l="1"/>
  <c r="M3994" i="57"/>
  <c r="E203" i="38"/>
  <c r="E203" i="36"/>
  <c r="B203" i="35"/>
  <c r="B203" i="38"/>
  <c r="B203" i="36"/>
  <c r="E203" i="37"/>
  <c r="B203" i="37"/>
  <c r="E203" i="35"/>
  <c r="B163" i="41"/>
  <c r="E203" i="34"/>
  <c r="B203" i="34"/>
  <c r="N3994" i="57" l="1"/>
  <c r="M3995" i="57"/>
  <c r="E204" i="38"/>
  <c r="B204" i="37"/>
  <c r="E204" i="37"/>
  <c r="E204" i="35"/>
  <c r="E204" i="36"/>
  <c r="B204" i="35"/>
  <c r="B204" i="36"/>
  <c r="B204" i="38"/>
  <c r="B204" i="34"/>
  <c r="B164" i="41"/>
  <c r="E204" i="34"/>
  <c r="N3995" i="57" l="1"/>
  <c r="M3996" i="57"/>
  <c r="B205" i="37"/>
  <c r="E205" i="36"/>
  <c r="B205" i="35"/>
  <c r="E205" i="38"/>
  <c r="B205" i="36"/>
  <c r="B205" i="38"/>
  <c r="E205" i="37"/>
  <c r="E205" i="35"/>
  <c r="E205" i="34"/>
  <c r="B205" i="34"/>
  <c r="B165" i="41"/>
  <c r="B166" i="41" s="1"/>
  <c r="N3996" i="57" l="1"/>
  <c r="M3997" i="57"/>
  <c r="N3997" i="57"/>
  <c r="E207" i="38"/>
  <c r="B207" i="37"/>
  <c r="B207" i="38"/>
  <c r="E207" i="35"/>
  <c r="E207" i="37"/>
  <c r="E207" i="36"/>
  <c r="B207" i="35"/>
  <c r="B207" i="36"/>
  <c r="B167" i="41"/>
  <c r="E207" i="34"/>
  <c r="B207" i="34"/>
  <c r="M3998" i="57" l="1"/>
  <c r="N3998" i="57" s="1"/>
  <c r="E208" i="37"/>
  <c r="E208" i="36"/>
  <c r="B208" i="35"/>
  <c r="B208" i="37"/>
  <c r="B208" i="36"/>
  <c r="E208" i="38"/>
  <c r="E208" i="35"/>
  <c r="B208" i="38"/>
  <c r="B168" i="41"/>
  <c r="B208" i="34"/>
  <c r="E208" i="34"/>
  <c r="M3999" i="57" l="1"/>
  <c r="M4000" i="57" s="1"/>
  <c r="E209" i="38"/>
  <c r="B209" i="37"/>
  <c r="B209" i="38"/>
  <c r="E209" i="35"/>
  <c r="E209" i="36"/>
  <c r="B209" i="35"/>
  <c r="B209" i="36"/>
  <c r="E209" i="37"/>
  <c r="B209" i="34"/>
  <c r="B169" i="41"/>
  <c r="B170" i="41" s="1"/>
  <c r="E209" i="34"/>
  <c r="N3999" i="57" l="1"/>
  <c r="N4000" i="57"/>
  <c r="M4001" i="57"/>
  <c r="B211" i="38"/>
  <c r="E211" i="36"/>
  <c r="B211" i="35"/>
  <c r="E211" i="37"/>
  <c r="B211" i="36"/>
  <c r="B211" i="37"/>
  <c r="E211" i="35"/>
  <c r="E211" i="38"/>
  <c r="B171" i="41"/>
  <c r="B211" i="34"/>
  <c r="E211" i="34"/>
  <c r="N4001" i="57" l="1"/>
  <c r="M4002" i="57"/>
  <c r="M4003" i="57" s="1"/>
  <c r="E212" i="38"/>
  <c r="B212" i="37"/>
  <c r="E212" i="37"/>
  <c r="E212" i="35"/>
  <c r="B212" i="38"/>
  <c r="E212" i="36"/>
  <c r="B212" i="35"/>
  <c r="B212" i="36"/>
  <c r="B212" i="34"/>
  <c r="B172" i="41"/>
  <c r="E212" i="34"/>
  <c r="N4003" i="57" l="1"/>
  <c r="M4004" i="57"/>
  <c r="M4005" i="57" s="1"/>
  <c r="N4002" i="57"/>
  <c r="E213" i="38"/>
  <c r="E213" i="36"/>
  <c r="B213" i="35"/>
  <c r="B213" i="38"/>
  <c r="B213" i="36"/>
  <c r="E213" i="37"/>
  <c r="B213" i="37"/>
  <c r="E213" i="35"/>
  <c r="B213" i="34"/>
  <c r="E213" i="34"/>
  <c r="B173" i="41"/>
  <c r="B174" i="41" s="1"/>
  <c r="N4005" i="57" l="1"/>
  <c r="M4006" i="57"/>
  <c r="N4004" i="57"/>
  <c r="B215" i="38"/>
  <c r="C215" i="37"/>
  <c r="B215" i="36"/>
  <c r="E215" i="35"/>
  <c r="C215" i="34"/>
  <c r="B175" i="41"/>
  <c r="E215" i="38"/>
  <c r="D215" i="35"/>
  <c r="B215" i="35"/>
  <c r="B215" i="37"/>
  <c r="B215" i="34"/>
  <c r="D215" i="37"/>
  <c r="C215" i="35"/>
  <c r="D215" i="38"/>
  <c r="E215" i="36"/>
  <c r="E215" i="34"/>
  <c r="E215" i="37"/>
  <c r="C215" i="36"/>
  <c r="D215" i="36"/>
  <c r="C215" i="38"/>
  <c r="D215" i="34"/>
  <c r="N4006" i="57" l="1"/>
  <c r="M4007" i="57"/>
  <c r="C216" i="37"/>
  <c r="D216" i="35"/>
  <c r="D216" i="37"/>
  <c r="C216" i="36"/>
  <c r="B216" i="34"/>
  <c r="B216" i="38"/>
  <c r="B216" i="37"/>
  <c r="E216" i="36"/>
  <c r="E216" i="34"/>
  <c r="B176" i="41"/>
  <c r="E216" i="35"/>
  <c r="D216" i="38"/>
  <c r="D216" i="36"/>
  <c r="D216" i="34"/>
  <c r="E216" i="37"/>
  <c r="C216" i="35"/>
  <c r="E216" i="38"/>
  <c r="C216" i="34"/>
  <c r="B216" i="36"/>
  <c r="C216" i="38"/>
  <c r="B216" i="35"/>
  <c r="N4007" i="57" l="1"/>
  <c r="M4008" i="57"/>
  <c r="D217" i="38"/>
  <c r="E217" i="37"/>
  <c r="D217" i="37"/>
  <c r="C217" i="35"/>
  <c r="C217" i="34"/>
  <c r="B217" i="36"/>
  <c r="D217" i="36"/>
  <c r="D217" i="34"/>
  <c r="C217" i="37"/>
  <c r="C217" i="36"/>
  <c r="C217" i="38"/>
  <c r="E217" i="35"/>
  <c r="B217" i="38"/>
  <c r="D217" i="35"/>
  <c r="B217" i="34"/>
  <c r="B217" i="35"/>
  <c r="B217" i="37"/>
  <c r="B177" i="41"/>
  <c r="B178" i="41" s="1"/>
  <c r="E217" i="34"/>
  <c r="E217" i="36"/>
  <c r="E217" i="38"/>
  <c r="N4008" i="57" l="1"/>
  <c r="M4009" i="57"/>
  <c r="B219" i="38"/>
  <c r="B219" i="36"/>
  <c r="E219" i="34"/>
  <c r="E219" i="37"/>
  <c r="B219" i="34"/>
  <c r="E219" i="36"/>
  <c r="B219" i="35"/>
  <c r="E219" i="38"/>
  <c r="B179" i="41"/>
  <c r="E219" i="35"/>
  <c r="B219" i="37"/>
  <c r="N4009" i="57" l="1"/>
  <c r="M4010" i="57"/>
  <c r="M4011" i="57" s="1"/>
  <c r="B220" i="38"/>
  <c r="E220" i="36"/>
  <c r="E220" i="34"/>
  <c r="B220" i="36"/>
  <c r="B180" i="41"/>
  <c r="E220" i="37"/>
  <c r="B220" i="37"/>
  <c r="E220" i="35"/>
  <c r="B220" i="35"/>
  <c r="B220" i="34"/>
  <c r="E220" i="38"/>
  <c r="M4012" i="57" l="1"/>
  <c r="N4012" i="57" s="1"/>
  <c r="N4010" i="57"/>
  <c r="N4011" i="57"/>
  <c r="E221" i="37"/>
  <c r="B221" i="35"/>
  <c r="B181" i="41"/>
  <c r="B182" i="41" s="1"/>
  <c r="E221" i="36"/>
  <c r="B221" i="37"/>
  <c r="E221" i="38"/>
  <c r="E221" i="34"/>
  <c r="B221" i="36"/>
  <c r="B221" i="38"/>
  <c r="B221" i="34"/>
  <c r="E221" i="35"/>
  <c r="M4013" i="57" l="1"/>
  <c r="M4014" i="57" s="1"/>
  <c r="N4014" i="57" s="1"/>
  <c r="E223" i="37"/>
  <c r="B223" i="36"/>
  <c r="B183" i="41"/>
  <c r="E223" i="35"/>
  <c r="B223" i="37"/>
  <c r="E223" i="36"/>
  <c r="E223" i="38"/>
  <c r="E223" i="34"/>
  <c r="B223" i="35"/>
  <c r="B223" i="34"/>
  <c r="B223" i="38"/>
  <c r="N4013" i="57"/>
  <c r="B224" i="36" l="1"/>
  <c r="B224" i="35"/>
  <c r="B224" i="38"/>
  <c r="E224" i="34"/>
  <c r="E224" i="38"/>
  <c r="B224" i="37"/>
  <c r="B184" i="41"/>
  <c r="B185" i="41" s="1"/>
  <c r="E224" i="36"/>
  <c r="B224" i="34"/>
  <c r="E224" i="37"/>
  <c r="E224" i="35"/>
  <c r="M4015" i="57"/>
  <c r="M4016" i="57" l="1"/>
  <c r="N4016" i="57" s="1"/>
  <c r="H226" i="37"/>
  <c r="E226" i="36"/>
  <c r="B226" i="37"/>
  <c r="B186" i="41"/>
  <c r="H226" i="38"/>
  <c r="B226" i="36"/>
  <c r="B226" i="34"/>
  <c r="E226" i="37"/>
  <c r="B226" i="35"/>
  <c r="H226" i="34"/>
  <c r="E226" i="38"/>
  <c r="H226" i="35"/>
  <c r="E226" i="34"/>
  <c r="H226" i="36"/>
  <c r="B226" i="38"/>
  <c r="E226" i="35"/>
  <c r="N4015" i="57"/>
  <c r="B227" i="38" l="1"/>
  <c r="E227" i="37"/>
  <c r="B227" i="35"/>
  <c r="B187" i="41"/>
  <c r="H227" i="37"/>
  <c r="B227" i="34"/>
  <c r="H227" i="38"/>
  <c r="E227" i="36"/>
  <c r="H227" i="36"/>
  <c r="E227" i="34"/>
  <c r="E227" i="38"/>
  <c r="H227" i="35"/>
  <c r="H227" i="34"/>
  <c r="E227" i="35"/>
  <c r="B227" i="36"/>
  <c r="B227" i="37"/>
  <c r="M4017" i="57"/>
  <c r="N4017" i="57" s="1"/>
  <c r="E228" i="38" l="1"/>
  <c r="H228" i="37"/>
  <c r="B228" i="35"/>
  <c r="B188" i="41"/>
  <c r="B189" i="41" s="1"/>
  <c r="B228" i="38"/>
  <c r="H228" i="36"/>
  <c r="E228" i="34"/>
  <c r="B228" i="37"/>
  <c r="H228" i="35"/>
  <c r="H228" i="34"/>
  <c r="H228" i="38"/>
  <c r="E228" i="36"/>
  <c r="B228" i="34"/>
  <c r="E228" i="37"/>
  <c r="B228" i="36"/>
  <c r="E228" i="35"/>
  <c r="M4018" i="57"/>
  <c r="N4018" i="57" s="1"/>
  <c r="M4019" i="57" l="1"/>
  <c r="E230" i="37"/>
  <c r="B230" i="35"/>
  <c r="B190" i="41"/>
  <c r="B191" i="41" s="1"/>
  <c r="B230" i="37"/>
  <c r="E230" i="35"/>
  <c r="B230" i="36"/>
  <c r="E230" i="38"/>
  <c r="E230" i="34"/>
  <c r="E230" i="36"/>
  <c r="B230" i="38"/>
  <c r="B230" i="34"/>
  <c r="M4020" i="57" l="1"/>
  <c r="C232" i="38"/>
  <c r="E232" i="37"/>
  <c r="E232" i="36"/>
  <c r="D232" i="35"/>
  <c r="E232" i="35"/>
  <c r="E232" i="34"/>
  <c r="B232" i="38"/>
  <c r="D232" i="37"/>
  <c r="H232" i="35"/>
  <c r="H232" i="36"/>
  <c r="C232" i="35"/>
  <c r="C232" i="34"/>
  <c r="D232" i="38"/>
  <c r="C232" i="37"/>
  <c r="B232" i="35"/>
  <c r="B192" i="41"/>
  <c r="H232" i="37"/>
  <c r="D232" i="36"/>
  <c r="B232" i="34"/>
  <c r="E232" i="38"/>
  <c r="B232" i="36"/>
  <c r="D232" i="34"/>
  <c r="H232" i="38"/>
  <c r="H232" i="34"/>
  <c r="C232" i="36"/>
  <c r="B232" i="37"/>
  <c r="N4019" i="57"/>
  <c r="D233" i="38" l="1"/>
  <c r="E233" i="37"/>
  <c r="D233" i="36"/>
  <c r="H233" i="37"/>
  <c r="E233" i="35"/>
  <c r="B233" i="34"/>
  <c r="E233" i="34"/>
  <c r="C233" i="38"/>
  <c r="D233" i="37"/>
  <c r="H233" i="36"/>
  <c r="B233" i="37"/>
  <c r="B193" i="41"/>
  <c r="H233" i="35"/>
  <c r="C233" i="34"/>
  <c r="C233" i="37"/>
  <c r="D233" i="35"/>
  <c r="H233" i="34"/>
  <c r="H233" i="38"/>
  <c r="B233" i="35"/>
  <c r="E233" i="36"/>
  <c r="E233" i="38"/>
  <c r="D233" i="34"/>
  <c r="B233" i="36"/>
  <c r="C233" i="36"/>
  <c r="B233" i="38"/>
  <c r="C233" i="35"/>
  <c r="M4021" i="57"/>
  <c r="N4021" i="57" s="1"/>
  <c r="N4020" i="57"/>
  <c r="M4022" i="57" l="1"/>
  <c r="B234" i="38"/>
  <c r="C234" i="37"/>
  <c r="E234" i="35"/>
  <c r="E234" i="36"/>
  <c r="B234" i="35"/>
  <c r="D234" i="34"/>
  <c r="E234" i="38"/>
  <c r="E234" i="37"/>
  <c r="D234" i="36"/>
  <c r="B234" i="34"/>
  <c r="H234" i="37"/>
  <c r="H234" i="35"/>
  <c r="D234" i="38"/>
  <c r="B234" i="36"/>
  <c r="C234" i="34"/>
  <c r="C234" i="38"/>
  <c r="B234" i="37"/>
  <c r="D234" i="35"/>
  <c r="H234" i="34"/>
  <c r="H234" i="36"/>
  <c r="C234" i="35"/>
  <c r="D234" i="37"/>
  <c r="E234" i="34"/>
  <c r="C234" i="36"/>
  <c r="B194" i="41"/>
  <c r="B195" i="41" s="1"/>
  <c r="H234" i="38"/>
  <c r="C236" i="38" l="1"/>
  <c r="D236" i="37"/>
  <c r="D236" i="36"/>
  <c r="C236" i="36"/>
  <c r="E236" i="34"/>
  <c r="B236" i="38"/>
  <c r="B236" i="36"/>
  <c r="E236" i="35"/>
  <c r="B196" i="41"/>
  <c r="B197" i="41" s="1"/>
  <c r="C236" i="37"/>
  <c r="B236" i="34"/>
  <c r="D236" i="38"/>
  <c r="E236" i="36"/>
  <c r="C236" i="34"/>
  <c r="B236" i="37"/>
  <c r="C236" i="35"/>
  <c r="E236" i="38"/>
  <c r="D236" i="34"/>
  <c r="E236" i="37"/>
  <c r="D236" i="35"/>
  <c r="B236" i="35"/>
  <c r="M4023" i="57"/>
  <c r="N4023" i="57" s="1"/>
  <c r="N4022" i="57"/>
  <c r="M4024" i="57" l="1"/>
  <c r="H238" i="38"/>
  <c r="H238" i="35"/>
  <c r="E238" i="38"/>
  <c r="H238" i="34"/>
  <c r="E238" i="37"/>
  <c r="B238" i="35"/>
  <c r="B238" i="34"/>
  <c r="H238" i="36"/>
  <c r="B238" i="36"/>
  <c r="E238" i="34"/>
  <c r="H238" i="37"/>
  <c r="B198" i="41"/>
  <c r="E238" i="36"/>
  <c r="B238" i="37"/>
  <c r="B238" i="38"/>
  <c r="E238" i="35"/>
  <c r="B239" i="38" l="1"/>
  <c r="B239" i="37"/>
  <c r="H239" i="35"/>
  <c r="E239" i="34"/>
  <c r="E239" i="36"/>
  <c r="H239" i="36"/>
  <c r="H239" i="37"/>
  <c r="B239" i="34"/>
  <c r="H239" i="38"/>
  <c r="H239" i="34"/>
  <c r="B239" i="36"/>
  <c r="B199" i="41"/>
  <c r="B200" i="41" s="1"/>
  <c r="B239" i="35"/>
  <c r="E239" i="37"/>
  <c r="E239" i="35"/>
  <c r="E239" i="38"/>
  <c r="M4025" i="57"/>
  <c r="N4025" i="57" s="1"/>
  <c r="N4024" i="57"/>
  <c r="E241" i="38" l="1"/>
  <c r="E241" i="36"/>
  <c r="E241" i="34"/>
  <c r="B241" i="38"/>
  <c r="B241" i="37"/>
  <c r="B241" i="34"/>
  <c r="B241" i="35"/>
  <c r="B241" i="36"/>
  <c r="B201" i="41"/>
  <c r="B202" i="41" s="1"/>
  <c r="E241" i="37"/>
  <c r="E241" i="35"/>
  <c r="M4026" i="57"/>
  <c r="M4027" i="57" l="1"/>
  <c r="N4027" i="57" s="1"/>
  <c r="N4026" i="57"/>
  <c r="B203" i="41"/>
  <c r="H243" i="38"/>
  <c r="C243" i="37"/>
  <c r="E243" i="37"/>
  <c r="D243" i="37"/>
  <c r="C243" i="35"/>
  <c r="B243" i="34"/>
  <c r="E243" i="34"/>
  <c r="B243" i="38"/>
  <c r="C243" i="38"/>
  <c r="E243" i="36"/>
  <c r="E243" i="35"/>
  <c r="H243" i="36"/>
  <c r="H243" i="34"/>
  <c r="B243" i="37"/>
  <c r="C243" i="36"/>
  <c r="D243" i="34"/>
  <c r="E243" i="38"/>
  <c r="B243" i="36"/>
  <c r="B243" i="35"/>
  <c r="D243" i="36"/>
  <c r="D243" i="38"/>
  <c r="H243" i="37"/>
  <c r="C243" i="34"/>
  <c r="D243" i="35"/>
  <c r="H243" i="35"/>
  <c r="D244" i="38" l="1"/>
  <c r="C244" i="37"/>
  <c r="H244" i="36"/>
  <c r="B244" i="36"/>
  <c r="E244" i="35"/>
  <c r="H244" i="34"/>
  <c r="D244" i="34"/>
  <c r="C244" i="38"/>
  <c r="H244" i="37"/>
  <c r="B244" i="37"/>
  <c r="E244" i="36"/>
  <c r="D244" i="35"/>
  <c r="C244" i="34"/>
  <c r="H244" i="38"/>
  <c r="B244" i="38"/>
  <c r="E244" i="37"/>
  <c r="D244" i="36"/>
  <c r="C244" i="35"/>
  <c r="B244" i="34"/>
  <c r="H244" i="35"/>
  <c r="E244" i="34"/>
  <c r="E244" i="38"/>
  <c r="C244" i="36"/>
  <c r="D244" i="37"/>
  <c r="B244" i="35"/>
  <c r="B204" i="41"/>
  <c r="B205" i="41" s="1"/>
  <c r="M4028" i="57"/>
  <c r="N4028" i="57" s="1"/>
  <c r="M4029" i="57" l="1"/>
  <c r="N4029" i="57" s="1"/>
  <c r="C246" i="38"/>
  <c r="B246" i="37"/>
  <c r="E246" i="36"/>
  <c r="D246" i="35"/>
  <c r="D246" i="34"/>
  <c r="B246" i="38"/>
  <c r="E246" i="37"/>
  <c r="D246" i="36"/>
  <c r="C246" i="35"/>
  <c r="C246" i="34"/>
  <c r="E246" i="38"/>
  <c r="D246" i="37"/>
  <c r="C246" i="36"/>
  <c r="B246" i="35"/>
  <c r="B246" i="34"/>
  <c r="E246" i="35"/>
  <c r="E246" i="34"/>
  <c r="D246" i="38"/>
  <c r="C246" i="37"/>
  <c r="B246" i="36"/>
  <c r="B206" i="41"/>
  <c r="B207" i="41" s="1"/>
  <c r="E248" i="38" l="1"/>
  <c r="B248" i="37"/>
  <c r="H248" i="35"/>
  <c r="B248" i="38"/>
  <c r="H248" i="36"/>
  <c r="E248" i="35"/>
  <c r="H248" i="37"/>
  <c r="E248" i="36"/>
  <c r="B248" i="35"/>
  <c r="E248" i="34"/>
  <c r="B248" i="34"/>
  <c r="H248" i="34"/>
  <c r="H248" i="38"/>
  <c r="E248" i="37"/>
  <c r="B248" i="36"/>
  <c r="B208" i="41"/>
  <c r="M4030" i="57"/>
  <c r="H249" i="38" l="1"/>
  <c r="E249" i="37"/>
  <c r="B249" i="36"/>
  <c r="E249" i="38"/>
  <c r="B249" i="37"/>
  <c r="H249" i="35"/>
  <c r="E249" i="34"/>
  <c r="B249" i="34"/>
  <c r="B249" i="38"/>
  <c r="H249" i="36"/>
  <c r="E249" i="35"/>
  <c r="H249" i="34"/>
  <c r="H249" i="37"/>
  <c r="E249" i="36"/>
  <c r="B249" i="35"/>
  <c r="B209" i="41"/>
  <c r="B210" i="41" s="1"/>
  <c r="M4031" i="57"/>
  <c r="N4030" i="57"/>
  <c r="M4032" i="57" l="1"/>
  <c r="E251" i="36"/>
  <c r="B251" i="35"/>
  <c r="E251" i="34"/>
  <c r="B251" i="34"/>
  <c r="E251" i="37"/>
  <c r="B251" i="36"/>
  <c r="E251" i="38"/>
  <c r="B251" i="37"/>
  <c r="B251" i="38"/>
  <c r="E251" i="35"/>
  <c r="B211" i="41"/>
  <c r="B212" i="41" s="1"/>
  <c r="N4031" i="57"/>
  <c r="M4033" i="57" l="1"/>
  <c r="C253" i="38"/>
  <c r="H253" i="37"/>
  <c r="B253" i="37"/>
  <c r="E253" i="36"/>
  <c r="D253" i="35"/>
  <c r="C253" i="34"/>
  <c r="H253" i="38"/>
  <c r="B253" i="38"/>
  <c r="E253" i="37"/>
  <c r="D253" i="36"/>
  <c r="C253" i="35"/>
  <c r="H253" i="34"/>
  <c r="D253" i="34"/>
  <c r="E253" i="38"/>
  <c r="D253" i="37"/>
  <c r="C253" i="36"/>
  <c r="H253" i="35"/>
  <c r="B253" i="35"/>
  <c r="B253" i="34"/>
  <c r="E253" i="34"/>
  <c r="H253" i="36"/>
  <c r="E253" i="35"/>
  <c r="D253" i="38"/>
  <c r="B253" i="36"/>
  <c r="C253" i="37"/>
  <c r="B213" i="41"/>
  <c r="N4032" i="57"/>
  <c r="H254" i="38" l="1"/>
  <c r="B254" i="38"/>
  <c r="E254" i="37"/>
  <c r="D254" i="36"/>
  <c r="C254" i="35"/>
  <c r="H254" i="34"/>
  <c r="D254" i="34"/>
  <c r="E254" i="38"/>
  <c r="D254" i="37"/>
  <c r="C254" i="36"/>
  <c r="H254" i="35"/>
  <c r="B254" i="35"/>
  <c r="D254" i="38"/>
  <c r="C254" i="37"/>
  <c r="H254" i="36"/>
  <c r="B254" i="36"/>
  <c r="E254" i="35"/>
  <c r="E254" i="34"/>
  <c r="B254" i="34"/>
  <c r="H254" i="37"/>
  <c r="E254" i="36"/>
  <c r="D254" i="35"/>
  <c r="C254" i="38"/>
  <c r="B254" i="37"/>
  <c r="C254" i="34"/>
  <c r="B214" i="41"/>
  <c r="B215" i="41" s="1"/>
  <c r="M4034" i="57"/>
  <c r="N4033" i="57"/>
  <c r="E256" i="38" l="1"/>
  <c r="D256" i="37"/>
  <c r="C256" i="36"/>
  <c r="B256" i="35"/>
  <c r="D256" i="38"/>
  <c r="C256" i="37"/>
  <c r="B256" i="36"/>
  <c r="E256" i="35"/>
  <c r="E256" i="34"/>
  <c r="B256" i="34"/>
  <c r="C256" i="38"/>
  <c r="B256" i="37"/>
  <c r="E256" i="36"/>
  <c r="D256" i="35"/>
  <c r="C256" i="34"/>
  <c r="E256" i="37"/>
  <c r="D256" i="36"/>
  <c r="C256" i="35"/>
  <c r="B256" i="38"/>
  <c r="D256" i="34"/>
  <c r="M4035" i="57"/>
  <c r="N4035" i="57" s="1"/>
  <c r="N4034" i="57"/>
  <c r="M4036" i="57" l="1"/>
  <c r="M4037" i="57" l="1"/>
  <c r="N4037" i="57" s="1"/>
  <c r="N4036" i="57"/>
  <c r="M4038" i="57" l="1"/>
  <c r="N4038" i="57" s="1"/>
  <c r="M4039" i="57" l="1"/>
  <c r="M4040" i="57" l="1"/>
  <c r="N4039" i="57"/>
  <c r="M4041" i="57" l="1"/>
  <c r="N4041" i="57" s="1"/>
  <c r="N4040" i="57"/>
  <c r="M4042" i="57" l="1"/>
  <c r="N4042" i="57" s="1"/>
  <c r="M4043" i="57" l="1"/>
  <c r="N4043" i="57" s="1"/>
  <c r="M4044" i="57" l="1"/>
  <c r="N4044" i="57" s="1"/>
  <c r="M4045" i="57" l="1"/>
  <c r="M4046" i="57" l="1"/>
  <c r="N4045" i="57"/>
  <c r="M4047" i="57" l="1"/>
  <c r="N4046" i="57"/>
  <c r="M4048" i="57" l="1"/>
  <c r="N4048" i="57" s="1"/>
  <c r="N4047" i="57"/>
  <c r="M4049" i="57" l="1"/>
  <c r="M4050" i="57" l="1"/>
  <c r="N4050" i="57" s="1"/>
  <c r="N4049" i="57"/>
  <c r="M4051" i="57" l="1"/>
  <c r="M4052" i="57" l="1"/>
  <c r="N4051" i="57"/>
  <c r="M4053" i="57" l="1"/>
  <c r="N4052" i="57"/>
  <c r="M4054" i="57" l="1"/>
  <c r="N4054" i="57"/>
  <c r="N4053" i="57"/>
  <c r="M4055" i="57" l="1"/>
  <c r="N4055" i="57" s="1"/>
  <c r="M4056" i="57" l="1"/>
  <c r="N4056" i="57" s="1"/>
  <c r="M4057" i="57" l="1"/>
  <c r="M4058" i="57" l="1"/>
  <c r="N4057" i="57"/>
  <c r="M4059" i="57" l="1"/>
  <c r="N4059" i="57" s="1"/>
  <c r="N4058" i="57"/>
  <c r="M4060" i="57" l="1"/>
  <c r="M4061" i="57" l="1"/>
  <c r="N4061" i="57" s="1"/>
  <c r="N4060" i="57"/>
  <c r="M4062" i="57" l="1"/>
  <c r="M4063" i="57" l="1"/>
  <c r="N4063" i="57" s="1"/>
  <c r="N4062" i="57"/>
  <c r="M4064" i="57" l="1"/>
  <c r="N4064" i="57" s="1"/>
  <c r="M4065" i="57" l="1"/>
  <c r="N4065" i="57" s="1"/>
  <c r="M4066" i="57" l="1"/>
  <c r="N4066" i="57" s="1"/>
  <c r="M4067" i="57" l="1"/>
  <c r="M4068" i="57" l="1"/>
  <c r="N4067" i="57"/>
  <c r="M4069" i="57" l="1"/>
  <c r="N4068" i="57"/>
  <c r="N4069" i="57" l="1"/>
  <c r="N3970" i="57"/>
  <c r="B4077" i="57" s="1"/>
  <c r="C4108" i="57" l="1"/>
  <c r="C4160" i="57" s="1"/>
  <c r="C4219" i="57" s="1"/>
  <c r="C4273" i="57" s="1"/>
  <c r="C4105" i="57"/>
  <c r="C4157" i="57" s="1"/>
  <c r="C4216" i="57" s="1"/>
  <c r="C4270" i="57" s="1"/>
  <c r="C4100" i="57"/>
  <c r="C4152" i="57" s="1"/>
  <c r="C4211" i="57" s="1"/>
  <c r="C4265" i="57" s="1"/>
  <c r="C4109" i="57"/>
  <c r="C4161" i="57" s="1"/>
  <c r="C4220" i="57" s="1"/>
  <c r="C4274" i="57" s="1"/>
  <c r="B4112" i="57"/>
  <c r="B4105" i="57"/>
  <c r="D4107" i="57"/>
  <c r="D4159" i="57" s="1"/>
  <c r="B4111" i="57"/>
  <c r="B4100" i="57"/>
  <c r="B4109" i="57"/>
  <c r="D4105" i="57"/>
  <c r="D4157" i="57" s="1"/>
  <c r="B4098" i="57"/>
  <c r="B4113" i="57"/>
  <c r="C4107" i="57"/>
  <c r="C4159" i="57" s="1"/>
  <c r="C4102" i="57"/>
  <c r="C4154" i="57" s="1"/>
  <c r="C4213" i="57" s="1"/>
  <c r="C4267" i="57" s="1"/>
  <c r="D4109" i="57"/>
  <c r="D4161" i="57" s="1"/>
  <c r="D4220" i="57" s="1"/>
  <c r="D4274" i="57" s="1"/>
  <c r="C4106" i="57"/>
  <c r="C4158" i="57" s="1"/>
  <c r="C4217" i="57" s="1"/>
  <c r="C4271" i="57" s="1"/>
  <c r="B4107" i="57"/>
  <c r="B4102" i="57"/>
  <c r="B4099" i="57"/>
  <c r="C4103" i="57"/>
  <c r="C4155" i="57" s="1"/>
  <c r="C4214" i="57" s="1"/>
  <c r="C4268" i="57" s="1"/>
  <c r="C4409" i="57" s="1"/>
  <c r="B4096" i="57"/>
  <c r="B4106" i="57"/>
  <c r="B4104" i="57"/>
  <c r="B4114" i="57"/>
  <c r="C4097" i="57"/>
  <c r="C4149" i="57" s="1"/>
  <c r="C4208" i="57" s="1"/>
  <c r="C4262" i="57" s="1"/>
  <c r="B4097" i="57"/>
  <c r="D4108" i="57"/>
  <c r="D4160" i="57" s="1"/>
  <c r="D4219" i="57" s="1"/>
  <c r="D4273" i="57" s="1"/>
  <c r="D4106" i="57"/>
  <c r="D4158" i="57" s="1"/>
  <c r="D4217" i="57" s="1"/>
  <c r="D4271" i="57" s="1"/>
  <c r="B4110" i="57"/>
  <c r="C4104" i="57"/>
  <c r="C4156" i="57" s="1"/>
  <c r="C4215" i="57" s="1"/>
  <c r="C4269" i="57" s="1"/>
  <c r="C4411" i="57" s="1"/>
  <c r="D4114" i="57"/>
  <c r="D4166" i="57" s="1"/>
  <c r="D4225" i="57" s="1"/>
  <c r="D4279" i="57" s="1"/>
  <c r="C4114" i="57"/>
  <c r="C4166" i="57" s="1"/>
  <c r="C4225" i="57" s="1"/>
  <c r="C4279" i="57" s="1"/>
  <c r="B4103" i="57"/>
  <c r="B4108" i="57"/>
  <c r="B4101" i="57"/>
  <c r="D4447" i="57" l="1"/>
  <c r="D4448" i="57"/>
  <c r="D4449" i="57"/>
  <c r="D4426" i="57"/>
  <c r="D4425" i="57"/>
  <c r="E4104" i="57"/>
  <c r="B4156" i="57"/>
  <c r="B4215" i="57" s="1"/>
  <c r="E4099" i="57"/>
  <c r="B4151" i="57"/>
  <c r="D4428" i="57"/>
  <c r="D4429" i="57"/>
  <c r="E4098" i="57"/>
  <c r="B4150" i="57"/>
  <c r="E4111" i="57"/>
  <c r="B4163" i="57"/>
  <c r="C4428" i="57"/>
  <c r="C4429" i="57"/>
  <c r="E24" i="55"/>
  <c r="N67" i="56"/>
  <c r="E4097" i="57"/>
  <c r="B4149" i="57"/>
  <c r="E4106" i="57"/>
  <c r="B4158" i="57"/>
  <c r="B4217" i="57" s="1"/>
  <c r="E4102" i="57"/>
  <c r="B4154" i="57"/>
  <c r="B4213" i="57" s="1"/>
  <c r="C4407" i="57"/>
  <c r="C4405" i="57"/>
  <c r="C4406" i="57"/>
  <c r="D4216" i="57"/>
  <c r="D4270" i="57" s="1"/>
  <c r="D4218" i="57"/>
  <c r="D4272" i="57" s="1"/>
  <c r="C4398" i="57"/>
  <c r="C4399" i="57"/>
  <c r="C4397" i="57"/>
  <c r="C4447" i="57"/>
  <c r="C4449" i="57"/>
  <c r="C4448" i="57"/>
  <c r="E4101" i="57"/>
  <c r="B4153" i="57"/>
  <c r="E4108" i="57"/>
  <c r="B4160" i="57"/>
  <c r="B4219" i="57" s="1"/>
  <c r="E4103" i="57"/>
  <c r="B4155" i="57"/>
  <c r="E4110" i="57"/>
  <c r="B4162" i="57"/>
  <c r="C4385" i="57"/>
  <c r="C4386" i="57"/>
  <c r="C4387" i="57"/>
  <c r="E4096" i="57"/>
  <c r="B4148" i="57"/>
  <c r="E4107" i="57"/>
  <c r="B4159" i="57"/>
  <c r="C4218" i="57"/>
  <c r="C4272" i="57" s="1"/>
  <c r="E4109" i="57"/>
  <c r="B4161" i="57"/>
  <c r="E4105" i="57"/>
  <c r="B4157" i="57"/>
  <c r="B4216" i="57" s="1"/>
  <c r="C4415" i="57"/>
  <c r="C4413" i="57"/>
  <c r="C4414" i="57"/>
  <c r="D4418" i="57"/>
  <c r="D4417" i="57"/>
  <c r="D4419" i="57"/>
  <c r="E4114" i="57"/>
  <c r="B4166" i="57"/>
  <c r="N65" i="56"/>
  <c r="E23" i="55"/>
  <c r="C4418" i="57"/>
  <c r="C4419" i="57"/>
  <c r="C4417" i="57"/>
  <c r="E4113" i="57"/>
  <c r="B4165" i="57"/>
  <c r="B4224" i="57" s="1"/>
  <c r="E4100" i="57"/>
  <c r="B4152" i="57"/>
  <c r="E4112" i="57"/>
  <c r="B4164" i="57"/>
  <c r="C4426" i="57"/>
  <c r="C4425" i="57"/>
  <c r="C4423" i="57" l="1"/>
  <c r="C4422" i="57"/>
  <c r="C4421" i="57"/>
  <c r="D4421" i="57"/>
  <c r="D4422" i="57"/>
  <c r="D4423" i="57"/>
  <c r="D4413" i="57"/>
  <c r="D4414" i="57"/>
  <c r="D4415" i="57"/>
  <c r="E28" i="55"/>
  <c r="N81" i="56"/>
  <c r="B4211" i="57"/>
  <c r="B4319" i="57" s="1"/>
  <c r="E26" i="55"/>
  <c r="N73" i="56"/>
  <c r="F26" i="55"/>
  <c r="O73" i="56"/>
  <c r="N71" i="56"/>
  <c r="E74" i="55"/>
  <c r="N42" i="56"/>
  <c r="E50" i="55"/>
  <c r="B4214" i="57"/>
  <c r="B4322" i="57" s="1"/>
  <c r="B4212" i="57"/>
  <c r="B4320" i="57" s="1"/>
  <c r="N103" i="56"/>
  <c r="E34" i="55"/>
  <c r="N62" i="56"/>
  <c r="E55" i="55"/>
  <c r="E29" i="55"/>
  <c r="N84" i="56"/>
  <c r="F77" i="55"/>
  <c r="O82" i="56"/>
  <c r="E77" i="55"/>
  <c r="N82" i="56"/>
  <c r="N75" i="56"/>
  <c r="E75" i="55"/>
  <c r="B4225" i="57"/>
  <c r="B4333" i="57" s="1"/>
  <c r="O74" i="56"/>
  <c r="F57" i="55"/>
  <c r="B4270" i="57"/>
  <c r="B4324" i="57"/>
  <c r="B4207" i="57"/>
  <c r="B4315" i="57" s="1"/>
  <c r="E17" i="55"/>
  <c r="N41" i="56"/>
  <c r="E20" i="55"/>
  <c r="N53" i="56"/>
  <c r="N61" i="56"/>
  <c r="E22" i="55"/>
  <c r="B4271" i="57"/>
  <c r="B4325" i="57"/>
  <c r="B4222" i="57"/>
  <c r="B4330" i="57" s="1"/>
  <c r="F78" i="55"/>
  <c r="O85" i="56"/>
  <c r="B4269" i="57"/>
  <c r="B4411" i="57" s="1"/>
  <c r="B4323" i="57"/>
  <c r="O105" i="56"/>
  <c r="F83" i="55"/>
  <c r="B4223" i="57"/>
  <c r="B4331" i="57" s="1"/>
  <c r="B4278" i="57"/>
  <c r="B4332" i="57"/>
  <c r="E57" i="55"/>
  <c r="N74" i="56"/>
  <c r="N70" i="56"/>
  <c r="E56" i="55"/>
  <c r="C4363" i="57"/>
  <c r="B4221" i="57"/>
  <c r="B4329" i="57" s="1"/>
  <c r="B4273" i="57"/>
  <c r="B4327" i="57"/>
  <c r="N104" i="56"/>
  <c r="E63" i="55"/>
  <c r="E71" i="55"/>
  <c r="N55" i="56"/>
  <c r="N63" i="56"/>
  <c r="E73" i="55"/>
  <c r="O84" i="56"/>
  <c r="F29" i="55"/>
  <c r="O104" i="56"/>
  <c r="F63" i="55"/>
  <c r="O75" i="56"/>
  <c r="F75" i="55"/>
  <c r="N69" i="56"/>
  <c r="E25" i="55"/>
  <c r="B4220" i="57"/>
  <c r="B4328" i="57" s="1"/>
  <c r="B4218" i="57"/>
  <c r="B4326" i="57" s="1"/>
  <c r="E68" i="55"/>
  <c r="N43" i="56"/>
  <c r="E83" i="55"/>
  <c r="N105" i="56"/>
  <c r="N54" i="56"/>
  <c r="E53" i="55"/>
  <c r="B4267" i="57"/>
  <c r="B4321" i="57"/>
  <c r="B4208" i="57"/>
  <c r="B4316" i="57" s="1"/>
  <c r="E78" i="55"/>
  <c r="N85" i="56"/>
  <c r="B4209" i="57"/>
  <c r="B4317" i="57" s="1"/>
  <c r="B4210" i="57"/>
  <c r="B4318" i="57" s="1"/>
  <c r="O81" i="56"/>
  <c r="F28" i="55"/>
  <c r="F34" i="55"/>
  <c r="O103" i="56"/>
  <c r="B4274" i="57" l="1"/>
  <c r="B4268" i="57"/>
  <c r="B4409" i="57" s="1"/>
  <c r="B4272" i="57"/>
  <c r="B4262" i="57"/>
  <c r="B4386" i="57" s="1"/>
  <c r="B4264" i="57"/>
  <c r="B4275" i="57"/>
  <c r="B4445" i="57"/>
  <c r="B4444" i="57"/>
  <c r="B4443" i="57"/>
  <c r="B4419" i="57"/>
  <c r="B4417" i="57"/>
  <c r="B4418" i="57"/>
  <c r="D4363" i="57"/>
  <c r="O70" i="56"/>
  <c r="F56" i="55"/>
  <c r="O77" i="56"/>
  <c r="F27" i="55"/>
  <c r="B4406" i="57"/>
  <c r="B4407" i="57"/>
  <c r="B4405" i="57"/>
  <c r="B4422" i="57"/>
  <c r="B4421" i="57"/>
  <c r="B4423" i="57"/>
  <c r="B4279" i="57"/>
  <c r="M65" i="56"/>
  <c r="D23" i="55"/>
  <c r="E65" i="56"/>
  <c r="D65" i="56"/>
  <c r="O69" i="56"/>
  <c r="F25" i="55"/>
  <c r="N77" i="56"/>
  <c r="E27" i="55"/>
  <c r="B4263" i="57"/>
  <c r="B4385" i="57"/>
  <c r="B4429" i="57"/>
  <c r="B4428" i="57"/>
  <c r="E4363" i="57"/>
  <c r="F4363" i="57" s="1"/>
  <c r="B4277" i="57"/>
  <c r="M67" i="56"/>
  <c r="E67" i="56"/>
  <c r="D24" i="55"/>
  <c r="D67" i="56"/>
  <c r="B4276" i="57"/>
  <c r="B4414" i="57"/>
  <c r="B4415" i="57"/>
  <c r="B4413" i="57"/>
  <c r="O79" i="56"/>
  <c r="F76" i="55"/>
  <c r="N78" i="56"/>
  <c r="E58" i="55"/>
  <c r="B4425" i="57"/>
  <c r="B4426" i="57"/>
  <c r="B4261" i="57"/>
  <c r="B4266" i="57"/>
  <c r="B4265" i="57"/>
  <c r="F74" i="55"/>
  <c r="O71" i="56"/>
  <c r="O78" i="56"/>
  <c r="F58" i="55"/>
  <c r="E76" i="55"/>
  <c r="N79" i="56"/>
  <c r="B4387" i="57" l="1"/>
  <c r="B4401" i="57"/>
  <c r="B4402" i="57"/>
  <c r="B4403" i="57"/>
  <c r="M69" i="56"/>
  <c r="D25" i="55"/>
  <c r="E69" i="56"/>
  <c r="D69" i="56"/>
  <c r="K67" i="56"/>
  <c r="J67" i="56"/>
  <c r="U67" i="56"/>
  <c r="T67" i="56"/>
  <c r="S67" i="56"/>
  <c r="V67" i="56"/>
  <c r="B4439" i="57"/>
  <c r="B4440" i="57"/>
  <c r="B4441" i="57"/>
  <c r="E41" i="56"/>
  <c r="D17" i="55"/>
  <c r="M41" i="56"/>
  <c r="D41" i="56"/>
  <c r="J65" i="56"/>
  <c r="K65" i="56"/>
  <c r="V65" i="56"/>
  <c r="U65" i="56"/>
  <c r="T65" i="56"/>
  <c r="S65" i="56"/>
  <c r="B4448" i="57"/>
  <c r="B4447" i="57"/>
  <c r="B4449" i="57"/>
  <c r="M61" i="56"/>
  <c r="D22" i="55"/>
  <c r="E61" i="56"/>
  <c r="D61" i="56"/>
  <c r="E74" i="56"/>
  <c r="D57" i="55"/>
  <c r="M74" i="56"/>
  <c r="D74" i="56"/>
  <c r="E100" i="56"/>
  <c r="D100" i="56"/>
  <c r="D62" i="55"/>
  <c r="M100" i="56"/>
  <c r="B4382" i="57"/>
  <c r="B4383" i="57"/>
  <c r="B4381" i="57"/>
  <c r="M71" i="56"/>
  <c r="E71" i="56"/>
  <c r="D74" i="55"/>
  <c r="D71" i="56"/>
  <c r="E43" i="56"/>
  <c r="M43" i="56"/>
  <c r="D68" i="55"/>
  <c r="D43" i="56"/>
  <c r="L65" i="56"/>
  <c r="Q65" i="56"/>
  <c r="P65" i="56"/>
  <c r="R65" i="56"/>
  <c r="E79" i="56"/>
  <c r="M79" i="56"/>
  <c r="D76" i="55"/>
  <c r="D79" i="56"/>
  <c r="M63" i="56"/>
  <c r="D73" i="55"/>
  <c r="E63" i="56"/>
  <c r="D63" i="56"/>
  <c r="M73" i="56"/>
  <c r="D26" i="55"/>
  <c r="E73" i="56"/>
  <c r="D73" i="56"/>
  <c r="D101" i="56"/>
  <c r="E101" i="56"/>
  <c r="D82" i="55"/>
  <c r="M101" i="56"/>
  <c r="M82" i="56"/>
  <c r="E82" i="56"/>
  <c r="D77" i="55"/>
  <c r="D82" i="56"/>
  <c r="D56" i="55"/>
  <c r="M70" i="56"/>
  <c r="E70" i="56"/>
  <c r="D70" i="56"/>
  <c r="L67" i="56"/>
  <c r="P67" i="56"/>
  <c r="R67" i="56"/>
  <c r="Q67" i="56"/>
  <c r="D29" i="55"/>
  <c r="M84" i="56"/>
  <c r="E84" i="56"/>
  <c r="D84" i="56"/>
  <c r="M42" i="56"/>
  <c r="D50" i="55"/>
  <c r="E42" i="56"/>
  <c r="D42" i="56"/>
  <c r="E77" i="56"/>
  <c r="M77" i="56"/>
  <c r="D27" i="55"/>
  <c r="D77" i="56"/>
  <c r="D55" i="55"/>
  <c r="M62" i="56"/>
  <c r="E62" i="56"/>
  <c r="D62" i="56"/>
  <c r="M75" i="56"/>
  <c r="E75" i="56"/>
  <c r="D75" i="55"/>
  <c r="D75" i="56"/>
  <c r="B4432" i="57"/>
  <c r="B4433" i="57"/>
  <c r="B4431" i="57"/>
  <c r="B4398" i="57"/>
  <c r="B4397" i="57"/>
  <c r="B4399" i="57"/>
  <c r="D28" i="55"/>
  <c r="M81" i="56"/>
  <c r="E81" i="56"/>
  <c r="D81" i="56"/>
  <c r="B4437" i="57"/>
  <c r="B4435" i="57"/>
  <c r="B4436" i="57"/>
  <c r="E85" i="56"/>
  <c r="M85" i="56"/>
  <c r="D78" i="55"/>
  <c r="D85" i="56"/>
  <c r="B4391" i="57"/>
  <c r="B4389" i="57"/>
  <c r="B4390" i="57"/>
  <c r="E78" i="56"/>
  <c r="M78" i="56"/>
  <c r="D58" i="55"/>
  <c r="D78" i="56"/>
  <c r="E99" i="56"/>
  <c r="D33" i="55"/>
  <c r="D99" i="56"/>
  <c r="M99" i="56"/>
  <c r="B4393" i="57"/>
  <c r="B4394" i="57"/>
  <c r="B4395" i="57"/>
  <c r="J78" i="56" l="1"/>
  <c r="K78" i="56"/>
  <c r="T78" i="56"/>
  <c r="S78" i="56"/>
  <c r="V78" i="56"/>
  <c r="U78" i="56"/>
  <c r="E46" i="56"/>
  <c r="D51" i="55"/>
  <c r="D46" i="56"/>
  <c r="M46" i="56"/>
  <c r="E91" i="56"/>
  <c r="D31" i="55"/>
  <c r="M91" i="56"/>
  <c r="D91" i="56"/>
  <c r="E54" i="56"/>
  <c r="D53" i="55"/>
  <c r="M54" i="56"/>
  <c r="D54" i="56"/>
  <c r="J75" i="56"/>
  <c r="K75" i="56"/>
  <c r="V75" i="56"/>
  <c r="U75" i="56"/>
  <c r="S75" i="56"/>
  <c r="T75" i="56"/>
  <c r="U62" i="56"/>
  <c r="V62" i="56"/>
  <c r="S62" i="56"/>
  <c r="T62" i="56"/>
  <c r="J77" i="56"/>
  <c r="K77" i="56"/>
  <c r="U77" i="56"/>
  <c r="V77" i="56"/>
  <c r="T77" i="56"/>
  <c r="S77" i="56"/>
  <c r="J42" i="56"/>
  <c r="K42" i="56"/>
  <c r="S42" i="56"/>
  <c r="V42" i="56"/>
  <c r="T42" i="56"/>
  <c r="U42" i="56"/>
  <c r="J84" i="56"/>
  <c r="K84" i="56"/>
  <c r="S84" i="56"/>
  <c r="U84" i="56"/>
  <c r="T84" i="56"/>
  <c r="V84" i="56"/>
  <c r="T70" i="56"/>
  <c r="V70" i="56"/>
  <c r="S70" i="56"/>
  <c r="U70" i="56"/>
  <c r="K82" i="56"/>
  <c r="J82" i="56"/>
  <c r="S82" i="56"/>
  <c r="V82" i="56"/>
  <c r="U82" i="56"/>
  <c r="T82" i="56"/>
  <c r="J73" i="56"/>
  <c r="K73" i="56"/>
  <c r="V73" i="56"/>
  <c r="U73" i="56"/>
  <c r="S73" i="56"/>
  <c r="T73" i="56"/>
  <c r="S63" i="56"/>
  <c r="V63" i="56"/>
  <c r="U63" i="56"/>
  <c r="T63" i="56"/>
  <c r="J79" i="56"/>
  <c r="K79" i="56"/>
  <c r="S79" i="56"/>
  <c r="V79" i="56"/>
  <c r="U79" i="56"/>
  <c r="T79" i="56"/>
  <c r="J43" i="56"/>
  <c r="K43" i="56"/>
  <c r="V43" i="56"/>
  <c r="U43" i="56"/>
  <c r="T43" i="56"/>
  <c r="S43" i="56"/>
  <c r="U71" i="56"/>
  <c r="S71" i="56"/>
  <c r="T71" i="56"/>
  <c r="V71" i="56"/>
  <c r="D16" i="55"/>
  <c r="E37" i="56"/>
  <c r="M37" i="56"/>
  <c r="D37" i="56"/>
  <c r="L61" i="56"/>
  <c r="Q61" i="56"/>
  <c r="R61" i="56"/>
  <c r="P61" i="56"/>
  <c r="E103" i="56"/>
  <c r="D34" i="55"/>
  <c r="D103" i="56"/>
  <c r="M103" i="56"/>
  <c r="K41" i="56"/>
  <c r="J41" i="56"/>
  <c r="S41" i="56"/>
  <c r="V41" i="56"/>
  <c r="U41" i="56"/>
  <c r="T41" i="56"/>
  <c r="D97" i="56"/>
  <c r="D81" i="55"/>
  <c r="M97" i="56"/>
  <c r="E97" i="56"/>
  <c r="E51" i="56"/>
  <c r="M51" i="56"/>
  <c r="D70" i="55"/>
  <c r="D51" i="56"/>
  <c r="K99" i="56"/>
  <c r="V99" i="56"/>
  <c r="U99" i="56"/>
  <c r="T99" i="56"/>
  <c r="S99" i="56"/>
  <c r="D45" i="56"/>
  <c r="M45" i="56"/>
  <c r="E45" i="56"/>
  <c r="D18" i="55"/>
  <c r="D93" i="56"/>
  <c r="E93" i="56"/>
  <c r="D80" i="55"/>
  <c r="M93" i="56"/>
  <c r="D87" i="56"/>
  <c r="D30" i="55"/>
  <c r="M87" i="56"/>
  <c r="E87" i="56"/>
  <c r="R62" i="56"/>
  <c r="P62" i="56"/>
  <c r="Q62" i="56"/>
  <c r="L42" i="56"/>
  <c r="Q42" i="56"/>
  <c r="P42" i="56"/>
  <c r="R42" i="56"/>
  <c r="L84" i="56"/>
  <c r="R84" i="56"/>
  <c r="Q84" i="56"/>
  <c r="P84" i="56"/>
  <c r="R70" i="56"/>
  <c r="Q70" i="56"/>
  <c r="P70" i="56"/>
  <c r="L73" i="56"/>
  <c r="Q73" i="56"/>
  <c r="P73" i="56"/>
  <c r="R73" i="56"/>
  <c r="P63" i="56"/>
  <c r="R63" i="56"/>
  <c r="Q63" i="56"/>
  <c r="D67" i="55"/>
  <c r="M39" i="56"/>
  <c r="E39" i="56"/>
  <c r="D39" i="56"/>
  <c r="S100" i="56"/>
  <c r="T100" i="56"/>
  <c r="U100" i="56"/>
  <c r="V100" i="56"/>
  <c r="E104" i="56"/>
  <c r="D63" i="55"/>
  <c r="D104" i="56"/>
  <c r="M104" i="56"/>
  <c r="D61" i="55"/>
  <c r="D96" i="56"/>
  <c r="M96" i="56"/>
  <c r="E96" i="56"/>
  <c r="K69" i="56"/>
  <c r="J69" i="56"/>
  <c r="S69" i="56"/>
  <c r="U69" i="56"/>
  <c r="V69" i="56"/>
  <c r="T69" i="56"/>
  <c r="D72" i="55"/>
  <c r="D59" i="56"/>
  <c r="E59" i="56"/>
  <c r="M59" i="56"/>
  <c r="M50" i="56"/>
  <c r="E50" i="56"/>
  <c r="D52" i="55"/>
  <c r="D50" i="56"/>
  <c r="M47" i="56"/>
  <c r="D47" i="56"/>
  <c r="E47" i="56"/>
  <c r="D69" i="55"/>
  <c r="L85" i="56"/>
  <c r="P85" i="56"/>
  <c r="R85" i="56"/>
  <c r="Q85" i="56"/>
  <c r="K81" i="56"/>
  <c r="J81" i="56"/>
  <c r="T81" i="56"/>
  <c r="S81" i="56"/>
  <c r="V81" i="56"/>
  <c r="U81" i="56"/>
  <c r="E55" i="56"/>
  <c r="D71" i="55"/>
  <c r="M55" i="56"/>
  <c r="D55" i="56"/>
  <c r="D89" i="56"/>
  <c r="E89" i="56"/>
  <c r="M89" i="56"/>
  <c r="D79" i="55"/>
  <c r="L75" i="56"/>
  <c r="Q75" i="56"/>
  <c r="R75" i="56"/>
  <c r="P75" i="56"/>
  <c r="L82" i="56"/>
  <c r="Q82" i="56"/>
  <c r="R82" i="56"/>
  <c r="P82" i="56"/>
  <c r="P101" i="56"/>
  <c r="R101" i="56"/>
  <c r="Q101" i="56"/>
  <c r="Q71" i="56"/>
  <c r="P71" i="56"/>
  <c r="R71" i="56"/>
  <c r="D49" i="55"/>
  <c r="M38" i="56"/>
  <c r="E38" i="56"/>
  <c r="D38" i="56"/>
  <c r="Q100" i="56"/>
  <c r="P100" i="56"/>
  <c r="R100" i="56"/>
  <c r="L74" i="56"/>
  <c r="R74" i="56"/>
  <c r="Q74" i="56"/>
  <c r="P74" i="56"/>
  <c r="E95" i="56"/>
  <c r="D95" i="56"/>
  <c r="M95" i="56"/>
  <c r="D32" i="55"/>
  <c r="L69" i="56"/>
  <c r="P69" i="56"/>
  <c r="R69" i="56"/>
  <c r="Q69" i="56"/>
  <c r="D58" i="56"/>
  <c r="D54" i="55"/>
  <c r="E58" i="56"/>
  <c r="M58" i="56"/>
  <c r="E49" i="56"/>
  <c r="D19" i="55"/>
  <c r="M49" i="56"/>
  <c r="D49" i="56"/>
  <c r="R99" i="56"/>
  <c r="Q99" i="56"/>
  <c r="P99" i="56"/>
  <c r="L78" i="56"/>
  <c r="Q78" i="56"/>
  <c r="R78" i="56"/>
  <c r="P78" i="56"/>
  <c r="J85" i="56"/>
  <c r="K85" i="56"/>
  <c r="T85" i="56"/>
  <c r="S85" i="56"/>
  <c r="V85" i="56"/>
  <c r="U85" i="56"/>
  <c r="D92" i="56"/>
  <c r="E92" i="56"/>
  <c r="M92" i="56"/>
  <c r="D60" i="55"/>
  <c r="L81" i="56"/>
  <c r="P81" i="56"/>
  <c r="R81" i="56"/>
  <c r="Q81" i="56"/>
  <c r="E53" i="56"/>
  <c r="D20" i="55"/>
  <c r="M53" i="56"/>
  <c r="D53" i="56"/>
  <c r="D59" i="55"/>
  <c r="E88" i="56"/>
  <c r="D88" i="56"/>
  <c r="M88" i="56"/>
  <c r="L77" i="56"/>
  <c r="R77" i="56"/>
  <c r="Q77" i="56"/>
  <c r="P77" i="56"/>
  <c r="S101" i="56"/>
  <c r="V101" i="56"/>
  <c r="U101" i="56"/>
  <c r="T101" i="56"/>
  <c r="L79" i="56"/>
  <c r="P79" i="56"/>
  <c r="R79" i="56"/>
  <c r="Q79" i="56"/>
  <c r="L43" i="56"/>
  <c r="Q43" i="56"/>
  <c r="P43" i="56"/>
  <c r="R43" i="56"/>
  <c r="K74" i="56"/>
  <c r="J74" i="56"/>
  <c r="U74" i="56"/>
  <c r="T74" i="56"/>
  <c r="V74" i="56"/>
  <c r="S74" i="56"/>
  <c r="J61" i="56"/>
  <c r="K61" i="56"/>
  <c r="T61" i="56"/>
  <c r="S61" i="56"/>
  <c r="V61" i="56"/>
  <c r="U61" i="56"/>
  <c r="D83" i="55"/>
  <c r="D105" i="56"/>
  <c r="M105" i="56"/>
  <c r="E105" i="56"/>
  <c r="L41" i="56"/>
  <c r="P41" i="56"/>
  <c r="R41" i="56"/>
  <c r="Q41" i="56"/>
  <c r="D21" i="55"/>
  <c r="D57" i="56"/>
  <c r="M57" i="56"/>
  <c r="E57" i="56"/>
  <c r="L57" i="56" l="1"/>
  <c r="P57" i="56"/>
  <c r="R57" i="56"/>
  <c r="Q57" i="56"/>
  <c r="L105" i="56"/>
  <c r="R105" i="56"/>
  <c r="P105" i="56"/>
  <c r="Q105" i="56"/>
  <c r="J53" i="56"/>
  <c r="K53" i="56"/>
  <c r="U53" i="56"/>
  <c r="S53" i="56"/>
  <c r="T53" i="56"/>
  <c r="V53" i="56"/>
  <c r="L49" i="56"/>
  <c r="Q49" i="56"/>
  <c r="P49" i="56"/>
  <c r="R49" i="56"/>
  <c r="T58" i="56"/>
  <c r="S58" i="56"/>
  <c r="V58" i="56"/>
  <c r="U58" i="56"/>
  <c r="L95" i="56"/>
  <c r="R95" i="56"/>
  <c r="Q95" i="56"/>
  <c r="P95" i="56"/>
  <c r="K38" i="56"/>
  <c r="J38" i="56"/>
  <c r="U38" i="56"/>
  <c r="S38" i="56"/>
  <c r="T38" i="56"/>
  <c r="V38" i="56"/>
  <c r="L89" i="56"/>
  <c r="R89" i="56"/>
  <c r="Q89" i="56"/>
  <c r="P89" i="56"/>
  <c r="J50" i="56"/>
  <c r="K50" i="56"/>
  <c r="T50" i="56"/>
  <c r="S50" i="56"/>
  <c r="V50" i="56"/>
  <c r="U50" i="56"/>
  <c r="J96" i="56"/>
  <c r="S96" i="56"/>
  <c r="U96" i="56"/>
  <c r="V96" i="56"/>
  <c r="T96" i="56"/>
  <c r="L45" i="56"/>
  <c r="R45" i="56"/>
  <c r="Q45" i="56"/>
  <c r="P45" i="56"/>
  <c r="J51" i="56"/>
  <c r="K51" i="56"/>
  <c r="V51" i="56"/>
  <c r="T51" i="56"/>
  <c r="U51" i="56"/>
  <c r="S51" i="56"/>
  <c r="L97" i="56"/>
  <c r="Q97" i="56"/>
  <c r="P97" i="56"/>
  <c r="R97" i="56"/>
  <c r="L37" i="56"/>
  <c r="P37" i="56"/>
  <c r="R37" i="56"/>
  <c r="E160" i="56"/>
  <c r="Q37" i="56"/>
  <c r="J88" i="56"/>
  <c r="T88" i="56"/>
  <c r="S88" i="56"/>
  <c r="V88" i="56"/>
  <c r="U88" i="56"/>
  <c r="J49" i="56"/>
  <c r="K49" i="56"/>
  <c r="U49" i="56"/>
  <c r="T49" i="56"/>
  <c r="S49" i="56"/>
  <c r="V49" i="56"/>
  <c r="L38" i="56"/>
  <c r="P38" i="56"/>
  <c r="R38" i="56"/>
  <c r="Q38" i="56"/>
  <c r="J89" i="56"/>
  <c r="S89" i="56"/>
  <c r="U89" i="56"/>
  <c r="T89" i="56"/>
  <c r="V89" i="56"/>
  <c r="L55" i="56"/>
  <c r="P55" i="56"/>
  <c r="R55" i="56"/>
  <c r="Q55" i="56"/>
  <c r="R47" i="56"/>
  <c r="Q47" i="56"/>
  <c r="P47" i="56"/>
  <c r="P59" i="56"/>
  <c r="Q59" i="56"/>
  <c r="R59" i="56"/>
  <c r="Q104" i="56"/>
  <c r="P104" i="56"/>
  <c r="R104" i="56"/>
  <c r="L93" i="56"/>
  <c r="R93" i="56"/>
  <c r="Q93" i="56"/>
  <c r="P93" i="56"/>
  <c r="L103" i="56"/>
  <c r="P103" i="56"/>
  <c r="R103" i="56"/>
  <c r="Q103" i="56"/>
  <c r="L54" i="56"/>
  <c r="P54" i="56"/>
  <c r="R54" i="56"/>
  <c r="Q54" i="56"/>
  <c r="L91" i="56"/>
  <c r="R91" i="56"/>
  <c r="Q91" i="56"/>
  <c r="P91" i="56"/>
  <c r="Q46" i="56"/>
  <c r="P46" i="56"/>
  <c r="R46" i="56"/>
  <c r="J57" i="56"/>
  <c r="K57" i="56"/>
  <c r="V57" i="56"/>
  <c r="U57" i="56"/>
  <c r="S57" i="56"/>
  <c r="T57" i="56"/>
  <c r="J105" i="56"/>
  <c r="K105" i="56"/>
  <c r="U105" i="56"/>
  <c r="T105" i="56"/>
  <c r="S105" i="56"/>
  <c r="V105" i="56"/>
  <c r="L88" i="56"/>
  <c r="P88" i="56"/>
  <c r="R88" i="56"/>
  <c r="Q88" i="56"/>
  <c r="L92" i="56"/>
  <c r="Q92" i="56"/>
  <c r="P92" i="56"/>
  <c r="R92" i="56"/>
  <c r="P58" i="56"/>
  <c r="R58" i="56"/>
  <c r="Q58" i="56"/>
  <c r="J55" i="56"/>
  <c r="K55" i="56"/>
  <c r="U55" i="56"/>
  <c r="T55" i="56"/>
  <c r="V55" i="56"/>
  <c r="S55" i="56"/>
  <c r="U47" i="56"/>
  <c r="S47" i="56"/>
  <c r="T47" i="56"/>
  <c r="V47" i="56"/>
  <c r="L50" i="56"/>
  <c r="Q50" i="56"/>
  <c r="P50" i="56"/>
  <c r="R50" i="56"/>
  <c r="U59" i="56"/>
  <c r="T59" i="56"/>
  <c r="V59" i="56"/>
  <c r="S59" i="56"/>
  <c r="L96" i="56"/>
  <c r="P96" i="56"/>
  <c r="R96" i="56"/>
  <c r="Q96" i="56"/>
  <c r="K39" i="56"/>
  <c r="J39" i="56"/>
  <c r="T39" i="56"/>
  <c r="V39" i="56"/>
  <c r="U39" i="56"/>
  <c r="S39" i="56"/>
  <c r="J87" i="56"/>
  <c r="K87" i="56"/>
  <c r="T87" i="56"/>
  <c r="S87" i="56"/>
  <c r="U87" i="56"/>
  <c r="V87" i="56"/>
  <c r="J93" i="56"/>
  <c r="V93" i="56"/>
  <c r="U93" i="56"/>
  <c r="T93" i="56"/>
  <c r="S93" i="56"/>
  <c r="J45" i="56"/>
  <c r="K45" i="56"/>
  <c r="V45" i="56"/>
  <c r="U45" i="56"/>
  <c r="S45" i="56"/>
  <c r="T45" i="56"/>
  <c r="K37" i="56"/>
  <c r="J37" i="56"/>
  <c r="V37" i="56"/>
  <c r="T37" i="56"/>
  <c r="U37" i="56"/>
  <c r="S37" i="56"/>
  <c r="D160" i="56"/>
  <c r="J54" i="56"/>
  <c r="K54" i="56"/>
  <c r="S54" i="56"/>
  <c r="U54" i="56"/>
  <c r="V54" i="56"/>
  <c r="T54" i="56"/>
  <c r="K91" i="56"/>
  <c r="J91" i="56"/>
  <c r="T91" i="56"/>
  <c r="S91" i="56"/>
  <c r="V91" i="56"/>
  <c r="U91" i="56"/>
  <c r="L53" i="56"/>
  <c r="R53" i="56"/>
  <c r="Q53" i="56"/>
  <c r="P53" i="56"/>
  <c r="J92" i="56"/>
  <c r="T92" i="56"/>
  <c r="U92" i="56"/>
  <c r="S92" i="56"/>
  <c r="V92" i="56"/>
  <c r="J95" i="56"/>
  <c r="K95" i="56"/>
  <c r="V95" i="56"/>
  <c r="S95" i="56"/>
  <c r="U95" i="56"/>
  <c r="T95" i="56"/>
  <c r="S104" i="56"/>
  <c r="V104" i="56"/>
  <c r="T104" i="56"/>
  <c r="U104" i="56"/>
  <c r="L39" i="56"/>
  <c r="P39" i="56"/>
  <c r="R39" i="56"/>
  <c r="Q39" i="56"/>
  <c r="L87" i="56"/>
  <c r="Q87" i="56"/>
  <c r="P87" i="56"/>
  <c r="R87" i="56"/>
  <c r="L51" i="56"/>
  <c r="Q51" i="56"/>
  <c r="P51" i="56"/>
  <c r="R51" i="56"/>
  <c r="J97" i="56"/>
  <c r="V97" i="56"/>
  <c r="T97" i="56"/>
  <c r="U97" i="56"/>
  <c r="S97" i="56"/>
  <c r="J103" i="56"/>
  <c r="K103" i="56"/>
  <c r="U103" i="56"/>
  <c r="T103" i="56"/>
  <c r="S103" i="56"/>
  <c r="V103" i="56"/>
  <c r="V46" i="56"/>
  <c r="T46" i="56"/>
  <c r="S46" i="56"/>
  <c r="U46" i="56"/>
</calcChain>
</file>

<file path=xl/sharedStrings.xml><?xml version="1.0" encoding="utf-8"?>
<sst xmlns="http://schemas.openxmlformats.org/spreadsheetml/2006/main" count="10998" uniqueCount="1767">
  <si>
    <t>1000. Company, charging year, data version</t>
  </si>
  <si>
    <t>Company</t>
  </si>
  <si>
    <t>Year</t>
  </si>
  <si>
    <t>Version</t>
  </si>
  <si>
    <t>Company, charging year, data version</t>
  </si>
  <si>
    <t>CRC</t>
  </si>
  <si>
    <t>Value</t>
  </si>
  <si>
    <t>1010. Financial and general assumptions</t>
  </si>
  <si>
    <t>Sources: financial assumptions; calendar; network model.</t>
  </si>
  <si>
    <t>These financial assumptions determine the annuity rate applied to convert the asset values of the network model into an annual charge.</t>
  </si>
  <si>
    <t>Rate of return</t>
  </si>
  <si>
    <t>Annualisation period (years)</t>
  </si>
  <si>
    <t>Annuity proportion for customer-contributed assets</t>
  </si>
  <si>
    <t>Power factor</t>
  </si>
  <si>
    <t>Financial and general assumptions</t>
  </si>
  <si>
    <t>1017. Diversity allowance between top and bottom of network level</t>
  </si>
  <si>
    <t>Source: operational data analysis and/or network model.</t>
  </si>
  <si>
    <t>The diversity figure against GSP is the diversity between GSP Group (the whole system) and individual GSPs.</t>
  </si>
  <si>
    <t>The diversity figure against 132kV is the diversity between GSPs (the top of the 132kV network) and 132kV/EHV bulk supply points (the bottom of the 132kV network). </t>
  </si>
  <si>
    <t>The diversity figure against EHV is the diversity between 132kV/EHV bulk supply points (the top of the EHV network) and EHV/HV primary substations (the bottom of the EHV network). </t>
  </si>
  <si>
    <t>The diversity figure against HV is the diversity between EHV/HV primary substations (the top of the HV network) and HV/LV substations (the bottom of the HV network). </t>
  </si>
  <si>
    <t>Diversity allowance between top and bottom of network level</t>
  </si>
  <si>
    <t>GSPs</t>
  </si>
  <si>
    <t>132kV</t>
  </si>
  <si>
    <t>132kV/EHV</t>
  </si>
  <si>
    <t>EHV</t>
  </si>
  <si>
    <t>EHV/HV</t>
  </si>
  <si>
    <t>HV</t>
  </si>
  <si>
    <t>HV/LV</t>
  </si>
  <si>
    <t>LV circuits</t>
  </si>
  <si>
    <t>1018. Proportion of relevant load going through 132kV/HV direct transformation</t>
  </si>
  <si>
    <t>132kV/HV</t>
  </si>
  <si>
    <t>1019. Network model GSP peak demand (MW)</t>
  </si>
  <si>
    <t>Network model GSP peak demand (MW)</t>
  </si>
  <si>
    <t>1020. Gross asset cost by network level (£)</t>
  </si>
  <si>
    <t>Gross assets £</t>
  </si>
  <si>
    <t>1022. LV service model asset cost (£)</t>
  </si>
  <si>
    <t>LV service model 1</t>
  </si>
  <si>
    <t>LV service model 2</t>
  </si>
  <si>
    <t>LV service model 3</t>
  </si>
  <si>
    <t>LV service model 4</t>
  </si>
  <si>
    <t>LV service model 5</t>
  </si>
  <si>
    <t>LV service model 6</t>
  </si>
  <si>
    <t>LV service model 7</t>
  </si>
  <si>
    <t>LV service model 8</t>
  </si>
  <si>
    <t>LV service model asset cost (£)</t>
  </si>
  <si>
    <t>1023. HV service model asset cost (£)</t>
  </si>
  <si>
    <t>HV service model 1</t>
  </si>
  <si>
    <t>HV service model 2</t>
  </si>
  <si>
    <t>HV service model 3</t>
  </si>
  <si>
    <t>HV service model 4</t>
  </si>
  <si>
    <t>HV service model 5</t>
  </si>
  <si>
    <t>HV service model asset cost (£)</t>
  </si>
  <si>
    <t>1025. Matrix of applicability of LV service models to tariffs with fixed charges</t>
  </si>
  <si>
    <t>Domestic Unrestricted</t>
  </si>
  <si>
    <t>Domestic Two Rate</t>
  </si>
  <si>
    <t>Small Non Domestic Unrestricted</t>
  </si>
  <si>
    <t>Small Non Domestic Two Rate</t>
  </si>
  <si>
    <t>LV Medium Non-Domestic</t>
  </si>
  <si>
    <t>LV Sub Medium Non-Domestic</t>
  </si>
  <si>
    <t>LV HH Metered</t>
  </si>
  <si>
    <t>LV Sub HH Metered</t>
  </si>
  <si>
    <t>LV Sub Generation NHH</t>
  </si>
  <si>
    <t>LV Generation Intermittent</t>
  </si>
  <si>
    <t>LV Generation Non-Intermittent</t>
  </si>
  <si>
    <t>LV Sub Generation Intermittent</t>
  </si>
  <si>
    <t>LV Sub Generation Non-Intermittent</t>
  </si>
  <si>
    <t>1026. Matrix of applicability of LV service models to unmetered tariffs</t>
  </si>
  <si>
    <t>Source: service models</t>
  </si>
  <si>
    <t>Proportion of service model involved in connecting load of 1 MWh/year</t>
  </si>
  <si>
    <t>All LV unmetered tariffs</t>
  </si>
  <si>
    <t>1028. Matrix of applicability of HV service models to tariffs with fixed charges</t>
  </si>
  <si>
    <t>HV Medium Non-Domestic</t>
  </si>
  <si>
    <t>HV HH Metered</t>
  </si>
  <si>
    <t>HV Generation Intermittent</t>
  </si>
  <si>
    <t>HV Generation Non-Intermittent</t>
  </si>
  <si>
    <t>1032. Loss adjustment factors to transmission</t>
  </si>
  <si>
    <t>Source: losses model or loss adjustment factors at time of system peak.</t>
  </si>
  <si>
    <t>Loss adjustment factor</t>
  </si>
  <si>
    <t>1037. Embedded network (LDNO) discounts</t>
  </si>
  <si>
    <t>Source: separate price control disaggregation model.</t>
  </si>
  <si>
    <t>No discount</t>
  </si>
  <si>
    <t>LDNO LV: LV user</t>
  </si>
  <si>
    <t>LDNO HV: LV user</t>
  </si>
  <si>
    <t>LDNO HV: LV sub user</t>
  </si>
  <si>
    <t>LDNO HV: HV user</t>
  </si>
  <si>
    <t>LDNO discount</t>
  </si>
  <si>
    <t>1041. Load profile data for demand users</t>
  </si>
  <si>
    <t>Source: load data analysis.</t>
  </si>
  <si>
    <t>Coincidence factor</t>
  </si>
  <si>
    <t>Load factor</t>
  </si>
  <si>
    <t>Domestic Off Peak (related MPAN)</t>
  </si>
  <si>
    <t>Small Non Domestic Off Peak (related MPAN)</t>
  </si>
  <si>
    <t>NHH UMS category A</t>
  </si>
  <si>
    <t>NHH UMS category B</t>
  </si>
  <si>
    <t>NHH UMS category C</t>
  </si>
  <si>
    <t>NHH UMS category D</t>
  </si>
  <si>
    <t>LV UMS (Pseudo HH Metered)</t>
  </si>
  <si>
    <t>1053. Volume forecasts for the charging year</t>
  </si>
  <si>
    <t>Source: forecast.</t>
  </si>
  <si>
    <t>Please include MPAN counts for tariffs with no fixed charge (e.g. off-peak tariffs),</t>
  </si>
  <si>
    <t>but exclude MPANs on tariffs with a fixed charge that are not subject to a fixed charge due to a site grouping arrangement.</t>
  </si>
  <si>
    <t>Rate 1 units (MWh)</t>
  </si>
  <si>
    <t>Rate 2 units (MWh)</t>
  </si>
  <si>
    <t>Rate 3 units (MWh)</t>
  </si>
  <si>
    <t>MPANs</t>
  </si>
  <si>
    <t>Import capacity (kVA)</t>
  </si>
  <si>
    <t>Reactive power units (MVArh)</t>
  </si>
  <si>
    <t>&gt; Domestic Unrestricted</t>
  </si>
  <si>
    <t>LDNO LV: Domestic Unrestricted</t>
  </si>
  <si>
    <t>LDNO HV: Domestic Unrestricted</t>
  </si>
  <si>
    <t>&gt; Domestic Two Rate</t>
  </si>
  <si>
    <t>LDNO LV: Domestic Two Rate</t>
  </si>
  <si>
    <t>LDNO HV: Domestic Two Rate</t>
  </si>
  <si>
    <t>&gt; Domestic Off Peak (related MPAN)</t>
  </si>
  <si>
    <t>LDNO LV: Domestic Off Peak (related MPAN)</t>
  </si>
  <si>
    <t>LDNO HV: Domestic Off Peak (related MPAN)</t>
  </si>
  <si>
    <t>&gt; Small Non Domestic Unrestricted</t>
  </si>
  <si>
    <t>LDNO LV: Small Non Domestic Unrestricted</t>
  </si>
  <si>
    <t>LDNO HV: Small Non Domestic Unrestricted</t>
  </si>
  <si>
    <t>&gt; Small Non Domestic Two Rate</t>
  </si>
  <si>
    <t>LDNO LV: Small Non Domestic Two Rate</t>
  </si>
  <si>
    <t>LDNO HV: Small Non Domestic Two Rate</t>
  </si>
  <si>
    <t>&gt; Small Non Domestic Off Peak (related MPAN)</t>
  </si>
  <si>
    <t>LDNO LV: Small Non Domestic Off Peak (related MPAN)</t>
  </si>
  <si>
    <t>LDNO HV: Small Non Domestic Off Peak (related MPAN)</t>
  </si>
  <si>
    <t>&gt; LV Medium Non-Domestic</t>
  </si>
  <si>
    <t>LDNO LV: LV Medium Non-Domestic</t>
  </si>
  <si>
    <t>LDNO HV: LV Medium Non-Domestic</t>
  </si>
  <si>
    <t>&gt; LV Sub Medium Non-Domestic</t>
  </si>
  <si>
    <t>&gt; HV Medium Non-Domestic</t>
  </si>
  <si>
    <t>&gt; LV HH Metered</t>
  </si>
  <si>
    <t>LDNO LV: LV HH Metered</t>
  </si>
  <si>
    <t>LDNO HV: LV HH Metered</t>
  </si>
  <si>
    <t>&gt; LV Sub HH Metered</t>
  </si>
  <si>
    <t>LDNO HV: LV Sub HH Metered</t>
  </si>
  <si>
    <t>&gt; HV HH Metered</t>
  </si>
  <si>
    <t>LDNO HV: HV HH Metered</t>
  </si>
  <si>
    <t>&gt; NHH UMS category A</t>
  </si>
  <si>
    <t>LDNO LV: NHH UMS category A</t>
  </si>
  <si>
    <t>LDNO HV: NHH UMS category A</t>
  </si>
  <si>
    <t>&gt; NHH UMS category B</t>
  </si>
  <si>
    <t>LDNO LV: NHH UMS category B</t>
  </si>
  <si>
    <t>LDNO HV: NHH UMS category B</t>
  </si>
  <si>
    <t>&gt; NHH UMS category C</t>
  </si>
  <si>
    <t>LDNO LV: NHH UMS category C</t>
  </si>
  <si>
    <t>LDNO HV: NHH UMS category C</t>
  </si>
  <si>
    <t>&gt; NHH UMS category D</t>
  </si>
  <si>
    <t>LDNO LV: NHH UMS category D</t>
  </si>
  <si>
    <t>LDNO HV: NHH UMS category D</t>
  </si>
  <si>
    <t>&gt; LV UMS (Pseudo HH Metered)</t>
  </si>
  <si>
    <t>LDNO LV: LV UMS (Pseudo HH Metered)</t>
  </si>
  <si>
    <t>LDNO HV: LV UMS (Pseudo HH Metered)</t>
  </si>
  <si>
    <t>&gt; LV Sub Generation NHH</t>
  </si>
  <si>
    <t>LDNO HV: LV Sub Generation NHH</t>
  </si>
  <si>
    <t>&gt; LV Generation Intermittent</t>
  </si>
  <si>
    <t>LDNO LV: LV Generation Intermittent</t>
  </si>
  <si>
    <t>LDNO HV: LV Generation Intermittent</t>
  </si>
  <si>
    <t>&gt; LV Generation Non-Intermittent</t>
  </si>
  <si>
    <t>LDNO LV: LV Generation Non-Intermittent</t>
  </si>
  <si>
    <t>LDNO HV: LV Generation Non-Intermittent</t>
  </si>
  <si>
    <t>&gt; LV Sub Generation Intermittent</t>
  </si>
  <si>
    <t>LDNO HV: LV Sub Generation Intermittent</t>
  </si>
  <si>
    <t>&gt; LV Sub Generation Non-Intermittent</t>
  </si>
  <si>
    <t>LDNO HV: LV Sub Generation Non-Intermittent</t>
  </si>
  <si>
    <t>&gt; HV Generation Intermittent</t>
  </si>
  <si>
    <t>LDNO HV: HV Generation Intermittent</t>
  </si>
  <si>
    <t>&gt; HV Generation Non-Intermittent</t>
  </si>
  <si>
    <t>LDNO HV: HV Generation Non-Intermittent</t>
  </si>
  <si>
    <t>1055. Transmission exit charges (£/year)</t>
  </si>
  <si>
    <t>Transmission
exit</t>
  </si>
  <si>
    <t>Transmission exit charges (£/year)</t>
  </si>
  <si>
    <t>1059. Other expenditure</t>
  </si>
  <si>
    <t>Direct cost (£/year)</t>
  </si>
  <si>
    <t>Indirect cost (£/year)</t>
  </si>
  <si>
    <t>Indirect cost proportion</t>
  </si>
  <si>
    <t>Network rates (£/year)</t>
  </si>
  <si>
    <t>Other expenditure</t>
  </si>
  <si>
    <t>1060. Customer contributions under current connection charging policy</t>
  </si>
  <si>
    <t>Source: analysis of expenditure data and/or survey of capital expenditure schemes.</t>
  </si>
  <si>
    <t>Customer contribution percentages by network level of supply and by asset network level.</t>
  </si>
  <si>
    <t>These proportions should reflect the current connection charging method, not necessarily the method that was in place when the connection was built.</t>
  </si>
  <si>
    <t>Assets
132kV</t>
  </si>
  <si>
    <t>Assets
132kV/EHV</t>
  </si>
  <si>
    <t>Assets
EHV</t>
  </si>
  <si>
    <t>Assets
EHV/HV</t>
  </si>
  <si>
    <t>Assets
132kV/HV</t>
  </si>
  <si>
    <t>Assets
HV</t>
  </si>
  <si>
    <t>Assets
HV/LV</t>
  </si>
  <si>
    <t>Assets
LV circuits</t>
  </si>
  <si>
    <t>LV network</t>
  </si>
  <si>
    <t>LV substation</t>
  </si>
  <si>
    <t>HV network</t>
  </si>
  <si>
    <t>HV substation</t>
  </si>
  <si>
    <t>1061. Average split of rate 1 units by distribution time band</t>
  </si>
  <si>
    <t>Red</t>
  </si>
  <si>
    <t>Amber</t>
  </si>
  <si>
    <t>Green</t>
  </si>
  <si>
    <t>1062. Average split of rate 2 units by distribution time band</t>
  </si>
  <si>
    <t>1064. Average split of rate 1 units by special distribution time band</t>
  </si>
  <si>
    <t>Black</t>
  </si>
  <si>
    <t>Yellow</t>
  </si>
  <si>
    <t>1066. Typical annual hours by special distribution time band</t>
  </si>
  <si>
    <t>Source: definition of distribution time bands.</t>
  </si>
  <si>
    <t>The figures in this table will be automatically adjusted to match the number of days in the charging period.</t>
  </si>
  <si>
    <t>Annual hours</t>
  </si>
  <si>
    <t>1068. Typical annual hours by distribution time band</t>
  </si>
  <si>
    <t>1069. Peaking probabilities by network level</t>
  </si>
  <si>
    <t>Source: analysis of network operation data.</t>
  </si>
  <si>
    <t>Black peaking probabilities</t>
  </si>
  <si>
    <t>1092. Average kVAr by kVA, by network level</t>
  </si>
  <si>
    <t>Source: analysis of operational data.</t>
  </si>
  <si>
    <t>This is the average of MVAr/MVA or SQRT(1-PF^2) across relevant network elements.</t>
  </si>
  <si>
    <t>Average kVAr by kVA, by network level</t>
  </si>
  <si>
    <t>This sheet calculates matrices of loss adjustment factors and of network use factors.</t>
  </si>
  <si>
    <t>These matrices map out the extent to which each type of user uses each level of the network, and are used throughout the workbook.</t>
  </si>
  <si>
    <t>2001. Loss adjustment factors to transmission</t>
  </si>
  <si>
    <t>Data sources:</t>
  </si>
  <si>
    <t>x1 = Network level for each tariff (to get loss factors applicable to capacity) (in Loss adjustment factors to transmission)</t>
  </si>
  <si>
    <t>x2 = 1032. Loss adjustment factors to transmission</t>
  </si>
  <si>
    <t>Kind:</t>
  </si>
  <si>
    <t>Fixed data</t>
  </si>
  <si>
    <t>Sum-product calculation</t>
  </si>
  <si>
    <t>Formula:</t>
  </si>
  <si>
    <t/>
  </si>
  <si>
    <t>=SUMPRODUCT(x1, x2)</t>
  </si>
  <si>
    <t>Network level for each tariff (to get loss factors applicable to capacity)</t>
  </si>
  <si>
    <t>2002. Mapping of DRM network levels to core network levels</t>
  </si>
  <si>
    <t>2003. Loss adjustment factor to transmission for each DRM network level</t>
  </si>
  <si>
    <t>x1 = 2002. Mapping of DRM network levels to core network levels</t>
  </si>
  <si>
    <t>Sum-product calculation =SUMPRODUCT(x1, x2)</t>
  </si>
  <si>
    <t>Loss adjustment factor to transmission for each DRM network level</t>
  </si>
  <si>
    <t>2004. Loss adjustment factor to transmission for each network level</t>
  </si>
  <si>
    <t>x1 = 2003. Loss adjustment factor to transmission for each DRM network level</t>
  </si>
  <si>
    <t>x2 = 1 for GSP level</t>
  </si>
  <si>
    <t>Combine tables = x1 or x2</t>
  </si>
  <si>
    <t>Loss adjustment factor to transmission for each network level</t>
  </si>
  <si>
    <t>2005. Network use factors</t>
  </si>
  <si>
    <t>2006. Proportion going through 132kV/EHV</t>
  </si>
  <si>
    <t>x1 = 1018. Proportion of relevant load going through 132kV/HV direct transformation</t>
  </si>
  <si>
    <t>Calculation =1-x1</t>
  </si>
  <si>
    <t>2007. Proportion going through EHV</t>
  </si>
  <si>
    <t>2008. Proportion going through EHV/HV</t>
  </si>
  <si>
    <t>2009. Rerouteing matrix for all network levels</t>
  </si>
  <si>
    <t>x2 = 2006. Proportion going through 132kV/EHV</t>
  </si>
  <si>
    <t>x3 = 2007. Proportion going through EHV</t>
  </si>
  <si>
    <t>x4 = 2008. Proportion going through EHV/HV</t>
  </si>
  <si>
    <t>x5 = Rerouteing matrix: default elements</t>
  </si>
  <si>
    <t>x6 = Map GSP to GSP</t>
  </si>
  <si>
    <t>Combine tables = x1 or x2 or x3 or x4 or x5 or x6</t>
  </si>
  <si>
    <t>2010. Network use factors: interim step in calculations before adjustments</t>
  </si>
  <si>
    <t>x1 = 2005. Network use factors</t>
  </si>
  <si>
    <t>x2 = 2009. Rerouteing matrix for all network levels</t>
  </si>
  <si>
    <t>2011. Network use factors for all tariffs</t>
  </si>
  <si>
    <t>x1 = Network use factors including 132kV/HV for generation dominated tariffs</t>
  </si>
  <si>
    <t>x2 = Network use factors including 132kV/HV for HV Sub tariffs</t>
  </si>
  <si>
    <t>x3 = 2010. Network use factors: interim step in calculations before adjustments</t>
  </si>
  <si>
    <t>Combine tables = x1 or x2 or x3</t>
  </si>
  <si>
    <t>2012. Loss adjustment factors between end user meter reading and each network level, scaled by network use</t>
  </si>
  <si>
    <t>x1 = 2004. Loss adjustment factor to transmission for each network level</t>
  </si>
  <si>
    <t>x2 = 2011. Network use factors for all tariffs</t>
  </si>
  <si>
    <t>x3 = 2001. Loss adjustment factor to transmission (in Loss adjustment factors to transmission)</t>
  </si>
  <si>
    <t>Calculation =IF(x1="",x2,x2*x3/x1)</t>
  </si>
  <si>
    <t>This sheet collects data from a network model and calculates aggregated annuitised unit costs from these data.</t>
  </si>
  <si>
    <t>2101. Annuity rate</t>
  </si>
  <si>
    <t>x1 = 1010. Rate of return (in Financial and general assumptions)</t>
  </si>
  <si>
    <t>x2 = 1010. Annualisation period (years) (in Financial and general assumptions)</t>
  </si>
  <si>
    <t>x3 = 1010. Days in the charging year (in Financial and general assumptions)</t>
  </si>
  <si>
    <t>Calculation =PMT(x1,x2,-1)*IF(OR(x3&gt;366,x3&lt;365),x3/365.25,1)</t>
  </si>
  <si>
    <t>Annuity rate</t>
  </si>
  <si>
    <t>2102. Loss adjustment factor to transmission for each core level</t>
  </si>
  <si>
    <t>x1 = 1032. Loss adjustment factors to transmission</t>
  </si>
  <si>
    <t>Loss adjustment factor to transmission for each core level</t>
  </si>
  <si>
    <t>2103. Loss adjustment factors</t>
  </si>
  <si>
    <t>x1 = 2102. Loss adjustment factor to transmission for each core level</t>
  </si>
  <si>
    <t>x2 = Loss adjustment factor to transmission for network level exit (in Loss adjustment factors)</t>
  </si>
  <si>
    <t>Copy cells</t>
  </si>
  <si>
    <t>Special copy</t>
  </si>
  <si>
    <t>=x1</t>
  </si>
  <si>
    <t>= x2</t>
  </si>
  <si>
    <t>Loss adjustment factor to transmission for network level exit</t>
  </si>
  <si>
    <t>Loss adjustment factor to transmission for network level entry</t>
  </si>
  <si>
    <t>2104. Diversity calculations</t>
  </si>
  <si>
    <t>x1 = 1017. Diversity allowance between top and bottom of network level</t>
  </si>
  <si>
    <t>x2 = Coincidence to system peak at level exit (in Diversity calculations)</t>
  </si>
  <si>
    <t>Special calculation</t>
  </si>
  <si>
    <t>=previous/(1+x1)</t>
  </si>
  <si>
    <t>=1/x2-1</t>
  </si>
  <si>
    <t>Coincidence to GSP peak at level exit</t>
  </si>
  <si>
    <t>Coincidence to system peak at level exit</t>
  </si>
  <si>
    <t>Diversity allowance between level exit and GSP Group</t>
  </si>
  <si>
    <t>2105. Network model total maximum demand at substation (MW)</t>
  </si>
  <si>
    <t>x1 = 1019. Network model GSP peak demand (MW)</t>
  </si>
  <si>
    <t>x2 = 2104. Coincidence to GSP peak at level exit (in Diversity calculations)</t>
  </si>
  <si>
    <t>Calculation =x1/x2</t>
  </si>
  <si>
    <t>Network model total maximum demand at substation (MW)</t>
  </si>
  <si>
    <t>2106. Network model contribution to system maximum load measured at network level exit (MW)</t>
  </si>
  <si>
    <t>x1 = 2105. Network model total maximum demand at substation (MW)</t>
  </si>
  <si>
    <t>x2 = 2104. Coincidence to system peak at level exit (in Diversity calculations)</t>
  </si>
  <si>
    <t>x3 = 2103. Loss adjustment factor to transmission for network level exit (in Loss adjustment factors)</t>
  </si>
  <si>
    <t>Calculation =x1*x2/x3</t>
  </si>
  <si>
    <t>Network model contribution to system maximum load measured at network level exit (MW)</t>
  </si>
  <si>
    <t>2107. Rerouteing matrix for DRM network levels</t>
  </si>
  <si>
    <t>Combine tables = x1 or x2 or x3 or x4 or x5</t>
  </si>
  <si>
    <t>2108. GSP simultaneous maximum load assumed through each network level (MW)</t>
  </si>
  <si>
    <t>x1 = 2106. Network model contribution to system maximum load measured at network level exit (MW)</t>
  </si>
  <si>
    <t>x2 = 2107. Rerouteing matrix for DRM network levels</t>
  </si>
  <si>
    <t>GSP simultaneous maximum load assumed through each network level (MW)</t>
  </si>
  <si>
    <t>2109. Network model annuity by simultaneous maximum load for each network level (£/kW/year)</t>
  </si>
  <si>
    <t>x1 = 2108. GSP simultaneous maximum load assumed through each network level (MW)</t>
  </si>
  <si>
    <t>x2 = 1020. Gross asset cost by network level (£)</t>
  </si>
  <si>
    <t>x3 = 2101. Annuity rate</t>
  </si>
  <si>
    <t>Calculation =IF(x1,0.001*x2*x3/x1,0)</t>
  </si>
  <si>
    <t>Model £/kW SML</t>
  </si>
  <si>
    <t>Assets 132kV</t>
  </si>
  <si>
    <t>Assets 132kV/EHV</t>
  </si>
  <si>
    <t>Assets EHV</t>
  </si>
  <si>
    <t>Assets EHV/HV</t>
  </si>
  <si>
    <t>Assets 132kV/HV</t>
  </si>
  <si>
    <t>Assets HV</t>
  </si>
  <si>
    <t>Assets HV/LV</t>
  </si>
  <si>
    <t>Assets LV circuits</t>
  </si>
  <si>
    <t>This sheet collects and processes data from the service models.</t>
  </si>
  <si>
    <t>2201. Asset £/customer from LV service models</t>
  </si>
  <si>
    <t>x1 = 1025. Matrix of applicability of LV service models to tariffs with fixed charges</t>
  </si>
  <si>
    <t>x2 = 1022. LV service model asset cost (£)</t>
  </si>
  <si>
    <t>Assets
LV customer</t>
  </si>
  <si>
    <t>x1 = 1026. Matrix of applicability of LV service models to unmetered tariffs</t>
  </si>
  <si>
    <t>x1 = 1010. Annuity proportion for customer-contributed assets (in Financial and general assumptions)</t>
  </si>
  <si>
    <t>Calculation =0.1*x1*x2*x3</t>
  </si>
  <si>
    <t>2204. Asset £/customer from HV service models</t>
  </si>
  <si>
    <t>x1 = 1028. Matrix of applicability of HV service models to tariffs with fixed charges</t>
  </si>
  <si>
    <t>x2 = 1023. HV service model asset cost (£)</t>
  </si>
  <si>
    <t>Assets
HV customer</t>
  </si>
  <si>
    <t>2205. Service model assets by tariff (£)</t>
  </si>
  <si>
    <t>x1 = 2201. Asset £/customer from LV service models</t>
  </si>
  <si>
    <t>x2 = 2204. Asset £/customer from HV service models</t>
  </si>
  <si>
    <t>2206. Replacement annuities for service models</t>
  </si>
  <si>
    <t>x1 = 1010. Days in the charging year (in Financial and general assumptions)</t>
  </si>
  <si>
    <t>x2 = 2205. Service model assets by tariff (£)</t>
  </si>
  <si>
    <t>x4 = 1010. Annuity proportion for customer-contributed assets (in Financial and general assumptions)</t>
  </si>
  <si>
    <t>x5 = Service model p/MPAN/day charge (in Replacement annuities for service models)</t>
  </si>
  <si>
    <t>Calculation</t>
  </si>
  <si>
    <t>Cell summation</t>
  </si>
  <si>
    <t>=100/x1*x2*x3*x4</t>
  </si>
  <si>
    <t>=SUM(x5)</t>
  </si>
  <si>
    <t>Service model p/MPAN/day charge</t>
  </si>
  <si>
    <t>Service model p/MPAN/day</t>
  </si>
  <si>
    <t>This sheet compiles information about the assumed characteristics of network users.</t>
  </si>
  <si>
    <t>A load factor represents the average load of a user or user group, relative to the maximum load level of that user or</t>
  </si>
  <si>
    <t>user group. Load factors are numbers between 0 and 1.</t>
  </si>
  <si>
    <t>A coincidence factor represents the expectation value of the load of a user or user group at the time of system maximum load,</t>
  </si>
  <si>
    <t>relative to the maximum load level of that user or user group.  Coincidence factors are numbers between 0 and 1.</t>
  </si>
  <si>
    <t>A load coefficient is the expectation value of the load of a user or user group at the time of system maximum load, relative to the average load level of that user or user group.</t>
  </si>
  <si>
    <t>For demand users, the load coefficient is a demand coefficient and can be calculated as the ratio of the coincidence factor to the load factor.</t>
  </si>
  <si>
    <t>2301. Demand coefficient (load at time of system maximum load divided by average load)</t>
  </si>
  <si>
    <t>x1 = 1041. Coincidence factor to system maximum load for each type of demand user (in Load profile data for demand users)</t>
  </si>
  <si>
    <t>x2 = 1041. Load factor for each type of demand user (in Load profile data for demand users)</t>
  </si>
  <si>
    <t>Demand coefficient</t>
  </si>
  <si>
    <t>2302. Load coefficient</t>
  </si>
  <si>
    <t>x1 = 2301. Demand coefficient (load at time of system maximum load divided by average load)</t>
  </si>
  <si>
    <t>x2 = Negative of generation coefficient; set to -1</t>
  </si>
  <si>
    <t>Load coefficient</t>
  </si>
  <si>
    <t>2303. Discount map</t>
  </si>
  <si>
    <t>2304. LDNO discounts and volumes adjusted for discount</t>
  </si>
  <si>
    <t>x1 = 2303. Discount map</t>
  </si>
  <si>
    <t>x2 = 1037. Embedded network (LDNO) discounts</t>
  </si>
  <si>
    <t>x3 = 100 per cent discount for generators on LDNO networks</t>
  </si>
  <si>
    <t>x4 = Discount for each tariff (except for fixed charges) (in LDNO discounts and volumes adjusted for discount)</t>
  </si>
  <si>
    <t>x5 = 1053. Rate 1 units (MWh) by tariff (in Volume forecasts for the charging year)</t>
  </si>
  <si>
    <t>x6 = 1053. Rate 2 units (MWh) by tariff (in Volume forecasts for the charging year)</t>
  </si>
  <si>
    <t>x7 = 1053. Rate 3 units (MWh) by tariff (in Volume forecasts for the charging year)</t>
  </si>
  <si>
    <t>x8 = 1053. MPANs by tariff (in Volume forecasts for the charging year)</t>
  </si>
  <si>
    <t>x9 = Discount for each tariff for fixed charges only (in LDNO discounts and volumes adjusted for discount)</t>
  </si>
  <si>
    <t>x10 = 1053. Import capacity (kVA) by tariff (in Volume forecasts for the charging year)</t>
  </si>
  <si>
    <t>Combine tables</t>
  </si>
  <si>
    <t>= x3 or x4</t>
  </si>
  <si>
    <t>=x5*(1-x4)</t>
  </si>
  <si>
    <t>=x6*(1-x4)</t>
  </si>
  <si>
    <t>=x7*(1-x4)</t>
  </si>
  <si>
    <t>=x8*(1-x9)</t>
  </si>
  <si>
    <t>=x10*(1-x4)</t>
  </si>
  <si>
    <t>=x11*(1-x4)</t>
  </si>
  <si>
    <t>Discount for each tariff (except for fixed charges)</t>
  </si>
  <si>
    <t>Discount for each tariff for fixed charges only</t>
  </si>
  <si>
    <t>2305. Equivalent volume for each end user</t>
  </si>
  <si>
    <t>x1 = 2304. Rate 1 units (MWh) (in LDNO discounts and volumes adjusted for discount)</t>
  </si>
  <si>
    <t>x2 = 2304. Rate 2 units (MWh) (in LDNO discounts and volumes adjusted for discount)</t>
  </si>
  <si>
    <t>x3 = 2304. Rate 3 units (MWh) (in LDNO discounts and volumes adjusted for discount)</t>
  </si>
  <si>
    <t>x4 = 2304. MPANs (in LDNO discounts and volumes adjusted for discount)</t>
  </si>
  <si>
    <t>x5 = 2304. Import capacity (kVA) (in LDNO discounts and volumes adjusted for discount)</t>
  </si>
  <si>
    <t>=SUM(x1)</t>
  </si>
  <si>
    <t>=SUM(x2)</t>
  </si>
  <si>
    <t>=SUM(x3)</t>
  </si>
  <si>
    <t>=SUM(x4)</t>
  </si>
  <si>
    <t>=SUM(x6)</t>
  </si>
  <si>
    <t>2401. Adjust annual hours by distribution time band to match days in year</t>
  </si>
  <si>
    <t>x1 = 1068. Typical annual hours by distribution time band</t>
  </si>
  <si>
    <t>x2 = 1010. Days in the charging year (in Financial and general assumptions)</t>
  </si>
  <si>
    <t>x3 = Total hours in the year according to time band hours input data (in Adjust annual hours by distribution time band to match days in year)</t>
  </si>
  <si>
    <t>=x1*24*x2/x3</t>
  </si>
  <si>
    <t>Hours aggregate</t>
  </si>
  <si>
    <t>Annual hours by distribution time band (reconciled to days in year)</t>
  </si>
  <si>
    <t>Adjust annual hours by distribution time band to match days in year</t>
  </si>
  <si>
    <t>2402. Normalisation of split of rate 1 units by time band</t>
  </si>
  <si>
    <t>x1 = 1061. Average split of rate 1 units by distribution time band</t>
  </si>
  <si>
    <t>x2 = Total split (in Normalisation of split of rate 1 units by time band)</t>
  </si>
  <si>
    <t>x3 = 2401. Annual hours by distribution time band (reconciled to days in year) (in Adjust annual hours by distribution time band to match days in year)</t>
  </si>
  <si>
    <t>x4 = 1010. Days in the charging year (in Financial and general assumptions)</t>
  </si>
  <si>
    <t>=IF(x2,x1/x2,x3/x4/24)</t>
  </si>
  <si>
    <t>Total split</t>
  </si>
  <si>
    <t>Normalised split of rate 1 units by distribution time band</t>
  </si>
  <si>
    <t>2403. Split of rate 1 units between distribution time bands</t>
  </si>
  <si>
    <t>x1 = 2402. Normalised split of rate 1 units by distribution time band (in Normalisation of split of rate 1 units by time band)</t>
  </si>
  <si>
    <t>x2 = Split of rate 1 units between distribution time bands (default)</t>
  </si>
  <si>
    <t>2404. Normalisation of split of rate 2 units by time band</t>
  </si>
  <si>
    <t>x1 = 1062. Average split of rate 2 units by distribution time band</t>
  </si>
  <si>
    <t>x2 = Total split (in Normalisation of split of rate 2 units by time band)</t>
  </si>
  <si>
    <t>Normalised split of rate 2 units by distribution time band</t>
  </si>
  <si>
    <t>2405. Split of rate 2 units between distribution time bands</t>
  </si>
  <si>
    <t>x1 = 2404. Normalised split of rate 2 units by distribution time band (in Normalisation of split of rate 2 units by time band)</t>
  </si>
  <si>
    <t>x2 = Split of rate 2 units between distribution time bands (default)</t>
  </si>
  <si>
    <t>2406. Split of rate 3 units between distribution time bands (default)</t>
  </si>
  <si>
    <t>2407. All units (MWh)</t>
  </si>
  <si>
    <t>x1 = 2305. Rate 1 units (MWh) (in Equivalent volume for each end user)</t>
  </si>
  <si>
    <t>x2 = 2305. Rate 2 units (MWh) (in Equivalent volume for each end user)</t>
  </si>
  <si>
    <t>x3 = 2305. Rate 3 units (MWh) (in Equivalent volume for each end user)</t>
  </si>
  <si>
    <t>Calculation =x1+x2+x3</t>
  </si>
  <si>
    <t>All units (MWh)</t>
  </si>
  <si>
    <t>x1 = 2407. All units (MWh)</t>
  </si>
  <si>
    <t>x2 = 2305. Rate 1 units (MWh) (in Equivalent volume for each end user)</t>
  </si>
  <si>
    <t>x3 = 2403. Split of rate 1 units between distribution time bands</t>
  </si>
  <si>
    <t>x4 = 2305. Rate 2 units (MWh) (in Equivalent volume for each end user)</t>
  </si>
  <si>
    <t>x5 = 2405. Split of rate 2 units between distribution time bands</t>
  </si>
  <si>
    <t>x6 = 2401. Annual hours by distribution time band (reconciled to days in year) (in Adjust annual hours by distribution time band to match days in year)</t>
  </si>
  <si>
    <t>x7 = Use of distribution time bands by units in demand forecast for two-rate tariffs (in Calculation of implied load coefficients for two-rate users)</t>
  </si>
  <si>
    <t>x8 = 1010. Days in the charging year (in Financial and general assumptions)</t>
  </si>
  <si>
    <t>=IF(x1&gt;0,(x2*x3+x4*x5)/x1,0)</t>
  </si>
  <si>
    <t>=IF(x6&gt;0,x7*x8*24/x6,0)</t>
  </si>
  <si>
    <t>Use of distribution time bands by units in demand forecast for two-rate tariffs</t>
  </si>
  <si>
    <t>x6 = 2305. Rate 3 units (MWh) (in Equivalent volume for each end user)</t>
  </si>
  <si>
    <t>x7 = 2406. Split of rate 3 units between distribution time bands (default)</t>
  </si>
  <si>
    <t>x8 = 2401. Annual hours by distribution time band (reconciled to days in year) (in Adjust annual hours by distribution time band to match days in year)</t>
  </si>
  <si>
    <t>x9 = Use of distribution time bands by units in demand forecast for three-rate tariffs (in Calculation of implied load coefficients for three-rate users)</t>
  </si>
  <si>
    <t>x10 = 1010. Days in the charging year (in Financial and general assumptions)</t>
  </si>
  <si>
    <t>=IF(x1&gt;0,(x2*x3+x4*x5+x6*x7)/x1,0)</t>
  </si>
  <si>
    <t>=IF(x8&gt;0,x9*x10*24/x8,0)</t>
  </si>
  <si>
    <t>Use of distribution time bands by units in demand forecast for three-rate tariffs</t>
  </si>
  <si>
    <t>= x1 or x2</t>
  </si>
  <si>
    <t>Load coefficient correction factor (kW at peak in band / band average kW)</t>
  </si>
  <si>
    <t>x1 = 1069. Red, amber and green peaking probabilities (in Peaking probabilities by network level)</t>
  </si>
  <si>
    <t>x2 = Total probability (should be 100%) (in Normalisation of peaking probabilities)</t>
  </si>
  <si>
    <t>x3 = 1068. Typical annual hours by distribution time band</t>
  </si>
  <si>
    <t>x4 = 2401. Total hours in the year according to time band hours input data (in Adjust annual hours by distribution time band to match days in year)</t>
  </si>
  <si>
    <t>=IF(x2,x1/x2,x3/x4)</t>
  </si>
  <si>
    <t>Total probability (should be 100%)</t>
  </si>
  <si>
    <t>Normalised peaking probabilities</t>
  </si>
  <si>
    <t>Reshape table = x1</t>
  </si>
  <si>
    <t>Probability of peak within timeband</t>
  </si>
  <si>
    <t>x1 = 2401. Annual hours by distribution time band (reconciled to days in year) (in Adjust annual hours by distribution time band to match days in year)</t>
  </si>
  <si>
    <t>Calculation =IF(x1&gt;0,x2*x3*24*x4/x1,0)</t>
  </si>
  <si>
    <t>x2 = 2403. Split of rate 1 units between distribution time bands</t>
  </si>
  <si>
    <t>x2 = 2405. Split of rate 2 units between distribution time bands</t>
  </si>
  <si>
    <t>x2 = 2406. Split of rate 3 units between distribution time bands (default)</t>
  </si>
  <si>
    <t>x1 = 1066. Typical annual hours by special distribution time band</t>
  </si>
  <si>
    <t>x3 = Total hours in the year according to special time band hours input data (in Adjust annual hours by special distribution time band to match days in year)</t>
  </si>
  <si>
    <t>Annual hours by special distribution time band (reconciled to days in year)</t>
  </si>
  <si>
    <t>Adjust annual hours by special distribution time band to match days in year</t>
  </si>
  <si>
    <t>x1 = 1064. Average split of rate 1 units by special distribution time band</t>
  </si>
  <si>
    <t>x2 = Total split (in Normalisation of split of rate 1 units by special time band)</t>
  </si>
  <si>
    <t>Normalised split of rate 1 units by special distribution time band</t>
  </si>
  <si>
    <t>x2 = Split of rate 1 units between special distribution time bands (default)</t>
  </si>
  <si>
    <t>x5 = Use of special distribution time bands by units in demand forecast for one-rate tariffs (in Calculation of implied special load coefficients for one-rate users)</t>
  </si>
  <si>
    <t>x6 = 1010. Days in the charging year (in Financial and general assumptions)</t>
  </si>
  <si>
    <t>=IF(x1&gt;0,(x2*x3)/x1,0)</t>
  </si>
  <si>
    <t>=IF(x4&gt;0,x5*x6*24/x4,0)</t>
  </si>
  <si>
    <t>Use of special distribution time bands by units in demand forecast for one-rate tariffs</t>
  </si>
  <si>
    <t>x9 = Use of special distribution time bands by units in demand forecast for three-rate tariffs (in Calculation of implied special load coefficients for three-rate users)</t>
  </si>
  <si>
    <t>Use of special distribution time bands by units in demand forecast for three-rate tariffs</t>
  </si>
  <si>
    <t>x4 = 2407. All units (MWh)</t>
  </si>
  <si>
    <t>x5 = 1010. Days in the charging year (in Financial and general assumptions)</t>
  </si>
  <si>
    <t>x6 = 2302. Load coefficient</t>
  </si>
  <si>
    <t>=x3*x4/24/x5*1000</t>
  </si>
  <si>
    <t>=x6*x4/24/x5*1000</t>
  </si>
  <si>
    <t>Contribution to system-peak-time kW</t>
  </si>
  <si>
    <t>x4 = 2401. Annual hours by distribution time band (reconciled to days in year) (in Adjust annual hours by distribution time band to match days in year)</t>
  </si>
  <si>
    <t>Red peaking probabilities</t>
  </si>
  <si>
    <t>Amber peaking probabilities</t>
  </si>
  <si>
    <t>Green peaking probabilities</t>
  </si>
  <si>
    <t>Yellow peaking probabilities</t>
  </si>
  <si>
    <t>2501. Contributions of users on one-rate multi tariffs to system simultaneous maximum load by network level (kW)</t>
  </si>
  <si>
    <t>x3 = 2012. Loss adjustment factors between end user meter reading and each network level, scaled by network use</t>
  </si>
  <si>
    <t>Calculation =(x1*x2)*x3/(24*x4)*1000</t>
  </si>
  <si>
    <t>2502. Contributions of users on two-rate multi tariffs to system simultaneous maximum load by network level (kW)</t>
  </si>
  <si>
    <t>x3 = 2305. Rate 2 units (MWh) (in Equivalent volume for each end user)</t>
  </si>
  <si>
    <t>x5 = 2012. Loss adjustment factors between end user meter reading and each network level, scaled by network use</t>
  </si>
  <si>
    <t>Calculation =(x1*x2+x3*x4)*x5/(24*x6)*1000</t>
  </si>
  <si>
    <t>2503. Contributions of users on three-rate multi tariffs to system simultaneous maximum load by network level (kW)</t>
  </si>
  <si>
    <t>x5 = 2305. Rate 3 units (MWh) (in Equivalent volume for each end user)</t>
  </si>
  <si>
    <t>x7 = 2012. Loss adjustment factors between end user meter reading and each network level, scaled by network use</t>
  </si>
  <si>
    <t>Calculation =(x1*x2+x3*x4+x5*x6)*x7/(24*x8)*1000</t>
  </si>
  <si>
    <t>2504. Estimated contributions of users on each tariff to system simultaneous maximum load by network level (kW)</t>
  </si>
  <si>
    <t>x2 = 2302. Load coefficient</t>
  </si>
  <si>
    <t>Calculation =x1*x2*x3/(24*x4)*1000</t>
  </si>
  <si>
    <t>2505. Contributions of users on each tariff to system simultaneous maximum load by network level (kW)</t>
  </si>
  <si>
    <t>x1 = 2501. Contributions of users on one-rate multi tariffs to system simultaneous maximum load by network level (kW)</t>
  </si>
  <si>
    <t>x2 = 2502. Contributions of users on two-rate multi tariffs to system simultaneous maximum load by network level (kW)</t>
  </si>
  <si>
    <t>x3 = 2503. Contributions of users on three-rate multi tariffs to system simultaneous maximum load by network level (kW)</t>
  </si>
  <si>
    <t>x4 = 2504. Estimated contributions of users on each tariff to system simultaneous maximum load by network level (kW)</t>
  </si>
  <si>
    <t>Combine tables = x1 or x2 or x3 or x4</t>
  </si>
  <si>
    <t>2506. Forecast system simultaneous maximum load (kW) from forecast units</t>
  </si>
  <si>
    <t>x1 = 2505. Contributions of users on each tariff to system simultaneous maximum load by network level (kW)</t>
  </si>
  <si>
    <t>Cell summation =SUM(x1)</t>
  </si>
  <si>
    <t>Forecast system simultaneous maximum load (kW) from forecast units</t>
  </si>
  <si>
    <t>2601. Pre-processing of data for standing charge factors</t>
  </si>
  <si>
    <t>x1 = Standing charges factors (in Pre-processing of data for standing charge factors)</t>
  </si>
  <si>
    <t>x2 = 1018. Proportion of relevant load going through 132kV/HV direct transformation</t>
  </si>
  <si>
    <t>x3 = Standing charges factors for 132kV/HV (in Pre-processing of data for standing charge factors)</t>
  </si>
  <si>
    <t>=x1+0.2*x2*x3</t>
  </si>
  <si>
    <t>Standing charges factors</t>
  </si>
  <si>
    <t>Standing charges factors for 132kV/HV</t>
  </si>
  <si>
    <t>Adjusted standing charges factors for 132kV</t>
  </si>
  <si>
    <t>2602. Standing charges factors adapted to use 132kV/HV</t>
  </si>
  <si>
    <t>x1 = 2601. Standing charges factors for 132kV/HV (in Pre-processing of data for standing charge factors)</t>
  </si>
  <si>
    <t>x2 = 2601. Adjusted standing charges factors for 132kV (in Pre-processing of data for standing charge factors)</t>
  </si>
  <si>
    <t>x3 = 2601. Standing charges factors (in Pre-processing of data for standing charge factors)</t>
  </si>
  <si>
    <t>2603. Capacity-based contributions to chargeable aggregate maximum load by network level (kW)</t>
  </si>
  <si>
    <t>x1 = 2305. Import capacity (kVA) (in Equivalent volume for each end user)</t>
  </si>
  <si>
    <t>x3 = 2602. Standing charges factors adapted to use 132kV/HV</t>
  </si>
  <si>
    <t>x4 = 2012. Loss adjustment factors between end user meter reading and each network level, scaled by network use</t>
  </si>
  <si>
    <t>2604. Unit-based contributions to chargeable aggregate maximum load (kW)</t>
  </si>
  <si>
    <t>Calculation =x1/x2*x3*x4/(24*x5)*1000</t>
  </si>
  <si>
    <t>2605. Contributions to aggregate maximum load by network level (kW)</t>
  </si>
  <si>
    <t>x1 = 2603. Capacity-based contributions to chargeable aggregate maximum load by network level (kW)</t>
  </si>
  <si>
    <t>x2 = 2604. Unit-based contributions to chargeable aggregate maximum load (kW)</t>
  </si>
  <si>
    <t>2606. Forecast chargeable aggregate maximum load (kW)</t>
  </si>
  <si>
    <t>x1 = 2605. Contributions to aggregate maximum load by network level (kW)</t>
  </si>
  <si>
    <t>Forecast chargeable aggregate maximum load (kW)</t>
  </si>
  <si>
    <t>2607. Forecast simultaneous load subject to standing charge factors (kW)</t>
  </si>
  <si>
    <t>x2 = 2602. Standing charges factors adapted to use 132kV/HV</t>
  </si>
  <si>
    <t>Calculation =x1*x2</t>
  </si>
  <si>
    <t>2608. Forecast simultaneous load replaced by standing charge (kW)</t>
  </si>
  <si>
    <t>x1 = 2607. Forecast simultaneous load subject to standing charge factors (kW)</t>
  </si>
  <si>
    <t>Forecast simultaneous load replaced by standing charge (kW)</t>
  </si>
  <si>
    <t>2609. Calculated LV diversity allowance</t>
  </si>
  <si>
    <t>x1 = 2606. Forecast chargeable aggregate maximum load (kW)</t>
  </si>
  <si>
    <t>x2 = 2608. Forecast simultaneous load replaced by standing charge (kW)</t>
  </si>
  <si>
    <t>Calculation =x1/x2-1</t>
  </si>
  <si>
    <t>Calculated LV diversity allowance</t>
  </si>
  <si>
    <t>2610. Network level mapping for diversity allowances</t>
  </si>
  <si>
    <t>2611. Diversity allowances including 132kV/HV</t>
  </si>
  <si>
    <t>x1 = 2104. Diversity allowance between level exit and GSP Group (in Diversity calculations)</t>
  </si>
  <si>
    <t>x2 = 2610. Network level mapping for diversity allowances</t>
  </si>
  <si>
    <t>Diversity allowances including 132kV/HV</t>
  </si>
  <si>
    <t>2612. Diversity allowances (including calculated LV value)</t>
  </si>
  <si>
    <t>x1 = 2609. Calculated LV diversity allowance</t>
  </si>
  <si>
    <t>x2 = 2611. Diversity allowances including 132kV/HV</t>
  </si>
  <si>
    <t>Diversity allowances (including calculated LV value)</t>
  </si>
  <si>
    <t>2613. Forecast simultaneous maximum load (kW) adjusted for standing charges</t>
  </si>
  <si>
    <t>x1 = 2506. Forecast system simultaneous maximum load (kW) from forecast units</t>
  </si>
  <si>
    <t>x3 = 2606. Forecast chargeable aggregate maximum load (kW)</t>
  </si>
  <si>
    <t>x4 = 2612. Diversity allowances (including calculated LV value)</t>
  </si>
  <si>
    <t>Calculation =x1-x2+x3/(1+x4)</t>
  </si>
  <si>
    <t>Forecast simultaneous maximum load (kW) adjusted for standing charges</t>
  </si>
  <si>
    <t>2701. Operating expenditure coded by network level (£/year)</t>
  </si>
  <si>
    <t>x1 = 1055. Transmission exit charges (£/year)</t>
  </si>
  <si>
    <t>x2 = Zero for levels other than transmission exit</t>
  </si>
  <si>
    <t>Operating
132kV</t>
  </si>
  <si>
    <t>Operating
132kV/EHV</t>
  </si>
  <si>
    <t>Operating
EHV</t>
  </si>
  <si>
    <t>Operating
EHV/HV</t>
  </si>
  <si>
    <t>Operating
132kV/HV</t>
  </si>
  <si>
    <t>Operating
HV</t>
  </si>
  <si>
    <t>Operating
HV/LV</t>
  </si>
  <si>
    <t>Operating
LV circuits</t>
  </si>
  <si>
    <t>Operating
LV customer</t>
  </si>
  <si>
    <t>Operating
HV customer</t>
  </si>
  <si>
    <t>Operating expenditure coded by network level (£/year)</t>
  </si>
  <si>
    <t>2702. Network model assets (£) scaled by load forecast</t>
  </si>
  <si>
    <t>x2 = 2613. Forecast simultaneous maximum load (kW) adjusted for standing charges</t>
  </si>
  <si>
    <t>x3 = 1020. Gross asset cost by network level (£)</t>
  </si>
  <si>
    <t>Calculation =IF(x1,x2*x3/x1/1000,0)</t>
  </si>
  <si>
    <t>Network model assets (£) scaled by load forecast</t>
  </si>
  <si>
    <t>2703. Annual consumption by tariff for unmetered users (MWh)</t>
  </si>
  <si>
    <t>Copy cells = x1</t>
  </si>
  <si>
    <t>Annual consumption by tariff for unmetered users (MWh)</t>
  </si>
  <si>
    <t>2704. Total unmetered units</t>
  </si>
  <si>
    <t>x1 = 2703. Annual consumption by tariff for unmetered users (MWh)</t>
  </si>
  <si>
    <t>Total unmetered units</t>
  </si>
  <si>
    <t>2705. Service model asset data</t>
  </si>
  <si>
    <t>x1 = 2205. Service model assets by tariff (£)</t>
  </si>
  <si>
    <t>x2 = 2305. MPANs (in Equivalent volume for each end user)</t>
  </si>
  <si>
    <t>x4 = 2704. Total unmetered units</t>
  </si>
  <si>
    <t>x5 = Service model assets (£) scaled by annual MWh (in Service model asset data)</t>
  </si>
  <si>
    <t>x6 = Service model assets (£) scaled by user count (in Service model asset data)</t>
  </si>
  <si>
    <t>x7 = Service model assets (£) scaled by annual MWh (in Service model asset data)</t>
  </si>
  <si>
    <t>=x3*x4</t>
  </si>
  <si>
    <t>= x5</t>
  </si>
  <si>
    <t>=x6+x7</t>
  </si>
  <si>
    <t>Service model assets (£) scaled by user count</t>
  </si>
  <si>
    <t>Service model assets (£) scaled by annual MWh</t>
  </si>
  <si>
    <t>Service model assets (£)</t>
  </si>
  <si>
    <t>Service model asset data</t>
  </si>
  <si>
    <t>2706. Data for allocation of operating expenditure</t>
  </si>
  <si>
    <t>x1 = 2702. Network model assets (£) scaled by load forecast</t>
  </si>
  <si>
    <t>x2 = 2705. Service model assets (£) (in Service model asset data)</t>
  </si>
  <si>
    <t>x3 = Model assets (£) scaled by demand forecast (in Data for allocation of operating expenditure)</t>
  </si>
  <si>
    <t>Model assets (£) scaled by demand forecast</t>
  </si>
  <si>
    <t>Denominator for allocation of operating expenditure</t>
  </si>
  <si>
    <t>Data for allocation of operating expenditure</t>
  </si>
  <si>
    <t>2707. Amount of expenditure to be allocated according to asset values (£/year)</t>
  </si>
  <si>
    <t>x1 = 1059. Direct cost (£/year) (in Other expenditure)</t>
  </si>
  <si>
    <t>x2 = 1059. Network rates (£/year) (in Other expenditure)</t>
  </si>
  <si>
    <t>x3 = 1059. Indirect cost (£/year) (in Other expenditure)</t>
  </si>
  <si>
    <t>x4 = 1059. Indirect cost proportion (in Other expenditure)</t>
  </si>
  <si>
    <t>Calculation =x1+x2+x3*x4</t>
  </si>
  <si>
    <t>Amount of expenditure to be allocated according to asset values (£/year)</t>
  </si>
  <si>
    <t>2708. Total operating expenditure by network level  (£/year)</t>
  </si>
  <si>
    <t>x1 = 2701. Operating expenditure coded by network level (£/year)</t>
  </si>
  <si>
    <t>x2 = 2707. Amount of expenditure to be allocated according to asset values (£/year)</t>
  </si>
  <si>
    <t>x3 = 2706. Denominator for allocation of operating expenditure (in Data for allocation of operating expenditure)</t>
  </si>
  <si>
    <t>x4 = 2706. Model assets (£) scaled by demand forecast (in Data for allocation of operating expenditure)</t>
  </si>
  <si>
    <t>Calculation =x1+x2/x3*x4</t>
  </si>
  <si>
    <t>Total operating expenditure by network level  (£/year)</t>
  </si>
  <si>
    <t>2709. Operating expenditure percentage by network level</t>
  </si>
  <si>
    <t>x1 = 2706. Model assets (£) scaled by demand forecast (in Data for allocation of operating expenditure)</t>
  </si>
  <si>
    <t>x2 = 2708. Total operating expenditure by network level  (£/year)</t>
  </si>
  <si>
    <t>Calculation =IF(x1="","",IF(x1&gt;0,x2/x1,0))</t>
  </si>
  <si>
    <t>Operating expenditure percentage by network level</t>
  </si>
  <si>
    <t>2710. Unit operating expenditure based on simultaneous maximum load (£/kW/year)</t>
  </si>
  <si>
    <t>x1 = 2613. Forecast simultaneous maximum load (kW) adjusted for standing charges</t>
  </si>
  <si>
    <t>Calculation =IF(x1&gt;0,x2/x1,0)</t>
  </si>
  <si>
    <t>Unit operating expenditure based on simultaneous maximum load (£/kW/year)</t>
  </si>
  <si>
    <t>2711. Operating expenditure for customer assets p/MPAN/day</t>
  </si>
  <si>
    <t>x2 = 2709. Operating expenditure percentage by network level</t>
  </si>
  <si>
    <t>x3 = 2205. Service model assets by tariff (£)</t>
  </si>
  <si>
    <t>x4 = Operating expenditure p/MPAN/day by level (in Operating expenditure for customer assets p/MPAN/day)</t>
  </si>
  <si>
    <t>=100/x1*x2*x3</t>
  </si>
  <si>
    <t>Operating expenditure p/MPAN/day by level</t>
  </si>
  <si>
    <t>Operating expenditure for customer assets p/MPAN/day total</t>
  </si>
  <si>
    <t>2712. Operating expenditure for unmetered customer assets (p/kWh)</t>
  </si>
  <si>
    <t>x1 = 2709. Operating expenditure percentage by network level</t>
  </si>
  <si>
    <t>Calculation =0.1*x1*x2</t>
  </si>
  <si>
    <t>This sheet calculates factors used to take account of the costs deemed to be covered by connection charges.</t>
  </si>
  <si>
    <t>2801. Network level of supply (for customer contributions) by tariff</t>
  </si>
  <si>
    <t>2802. Contribution proportion of asset annuities, by customer type and network level of assets</t>
  </si>
  <si>
    <t>x1 = 1060. Customer contributions under current connection charging policy</t>
  </si>
  <si>
    <t>x2 = 1010. Annuity proportion for customer-contributed assets (in Financial and general assumptions)</t>
  </si>
  <si>
    <t>Calculation =x1*(1-x2)</t>
  </si>
  <si>
    <t>x1 = 2801. Network level of supply (for customer contributions) by tariff</t>
  </si>
  <si>
    <t>x2 = 2802. Contribution proportion of asset annuities, by customer type and network level of assets</t>
  </si>
  <si>
    <t>2804. Proportion of annual charge covered by contributions (for all charging levels)</t>
  </si>
  <si>
    <t>x1 = Zero for operating expenditure</t>
  </si>
  <si>
    <t>x2 = Zero for GSPs level</t>
  </si>
  <si>
    <t>This sheet calculates average p/kWh and p/kW/day charges that would apply if no costs were recovered through capacity or fixed charges.</t>
  </si>
  <si>
    <t>2901. Unit cost at each level, £/kW/year (relative to system simultaneous maximum load)</t>
  </si>
  <si>
    <t>x1 = 2109. Network model annuity by simultaneous maximum load for each network level (£/kW/year)</t>
  </si>
  <si>
    <t>x2 = 2710. Unit operating expenditure based on simultaneous maximum load (£/kW/year)</t>
  </si>
  <si>
    <t>Unit cost at each level, £/kW/year (relative to system simultaneous maximum load)</t>
  </si>
  <si>
    <t>2902. Pay-as-you-go yardstick unit costs by charging level (p/kWh)</t>
  </si>
  <si>
    <t>x1 = 2901. Unit cost at each level, £/kW/year (relative to system simultaneous maximum load)</t>
  </si>
  <si>
    <t>x4 = 2804. Proportion of annual charge covered by contributions (for all charging levels)</t>
  </si>
  <si>
    <t>Calculation =x1*x2*x3*(1-x4)/(24*x5)*100</t>
  </si>
  <si>
    <t>x2 = 2901. Unit cost at each level, £/kW/year (relative to system simultaneous maximum load)</t>
  </si>
  <si>
    <t>This sheet reallocates some costs from unit charges to fixed or capacity charges, for demand users only.</t>
  </si>
  <si>
    <t>3001. Costs based on aggregate maximum load (£/kW/year)</t>
  </si>
  <si>
    <t>x2 = 2612. Diversity allowances (including calculated LV value)</t>
  </si>
  <si>
    <t>Calculation =x1/(1+x2)</t>
  </si>
  <si>
    <t>Costs based on aggregate maximum load (£/kW/year)</t>
  </si>
  <si>
    <t>3002. Capacity elements p/kVA/day</t>
  </si>
  <si>
    <t>This calculation uses aggregate maximum load and no coincidence factor.</t>
  </si>
  <si>
    <t>x1 = 2602. Standing charges factors adapted to use 132kV/HV</t>
  </si>
  <si>
    <t>x2 = 2012. Loss adjustment factors between end user meter reading and each network level, scaled by network use</t>
  </si>
  <si>
    <t>x3 = 3001. Costs based on aggregate maximum load (£/kW/year)</t>
  </si>
  <si>
    <t>x4 = 1010. Power factor for all flows in the network model (in Financial and general assumptions)</t>
  </si>
  <si>
    <t>x6 = 2804. Proportion of annual charge covered by contributions (for all charging levels)</t>
  </si>
  <si>
    <t>Calculation =100*x1*x2*x3*x4/x5*(1-x6)</t>
  </si>
  <si>
    <t>x2 = 2902. Pay-as-you-go yardstick unit costs by charging level (p/kWh)</t>
  </si>
  <si>
    <t>This sheet allocates standing charges to fixed charges for non half hourly settled demand users.</t>
  </si>
  <si>
    <t>x3 = 1010. Power factor for all flows in the network model (in Financial and general assumptions)</t>
  </si>
  <si>
    <t>x1 = 3002. Capacity elements p/kVA/day</t>
  </si>
  <si>
    <t>= x1</t>
  </si>
  <si>
    <t>Calculation =ABS(x1)</t>
  </si>
  <si>
    <t>x2 = 1092. Average kVAr by kVA, by network level</t>
  </si>
  <si>
    <t>Calculation =x1*x2*x3</t>
  </si>
  <si>
    <t>3204. Absolute value of load coefficient (kW peak / average kW)</t>
  </si>
  <si>
    <t>x1 = 2302. Load coefficient</t>
  </si>
  <si>
    <t>Absolute load coefficient</t>
  </si>
  <si>
    <t>3205. Pay-as-you-go components p/kWh for reactive power (absolute value)</t>
  </si>
  <si>
    <t>x2 = 3204. Absolute value of load coefficient (kW peak / average kW)</t>
  </si>
  <si>
    <t>x4 = 2004. Loss adjustment factor to transmission for each network level</t>
  </si>
  <si>
    <t>x5 = 2804. Proportion of annual charge covered by contributions (for all charging levels)</t>
  </si>
  <si>
    <t>x7 = 1010. Days in the charging year (in Financial and general assumptions)</t>
  </si>
  <si>
    <t>Calculation =x1*x2*x3/x4*(1-x5)*x6/(24*x7)*100</t>
  </si>
  <si>
    <t>3206. Pay-as-you-go reactive p/kVArh</t>
  </si>
  <si>
    <t>x1 = 3205. Pay-as-you-go components p/kWh for reactive power (absolute value)</t>
  </si>
  <si>
    <t>This sheet aggregates elements of tariffs excluding revenue matching and final adjustments and rounding.</t>
  </si>
  <si>
    <t>3301. Unit rate 1 p/kWh (elements)</t>
  </si>
  <si>
    <t>3302. Unit rate 2 p/kWh (elements)</t>
  </si>
  <si>
    <t>x5 = 2712. Operating expenditure for unmetered customer assets (p/kWh) — for Tariffs with Unit rate 2 p/kWh from PAYG 2 kWh &amp; customer</t>
  </si>
  <si>
    <t>3303. Unit rate 3 p/kWh (elements)</t>
  </si>
  <si>
    <t>x5 = 2712. Operating expenditure for unmetered customer assets (p/kWh) — for Tariffs with Unit rate 3 p/kWh from PAYG 3 kWh &amp; customer</t>
  </si>
  <si>
    <t>3304. Fixed charge p/MPAN/day (elements)</t>
  </si>
  <si>
    <t>x2 = 2206. Service model p/MPAN/day (in Replacement annuities for service models) — for Tariffs with Fixed charge p/MPAN/day from Customer</t>
  </si>
  <si>
    <t>x3 = 2206. Service model p/MPAN/day (in Replacement annuities for service models) — for Tariffs with Fixed charge p/MPAN/day from Fixed from network &amp; customer</t>
  </si>
  <si>
    <t>x4 = 2711. Operating expenditure for customer assets p/MPAN/day total (in Operating expenditure for customer assets p/MPAN/day) — for Tariffs with Fixed charge p/MPAN/day from Customer</t>
  </si>
  <si>
    <t>x5 = 2711. Operating expenditure for customer assets p/MPAN/day total (in Operating expenditure for customer assets p/MPAN/day) — for Tariffs with Fixed charge p/MPAN/day from Fixed from network &amp; customer</t>
  </si>
  <si>
    <t>3305. Capacity charge p/kVA/day (elements)</t>
  </si>
  <si>
    <t>x1 = 3002. Capacity charge p/kVA/day — for Tariffs with Capacity charge p/kVA/day from Capacity</t>
  </si>
  <si>
    <t>x1 = 3206. Pay-as-you-go reactive p/kVArh</t>
  </si>
  <si>
    <t>x1 = 3301. Unit rate 1 p/kWh (elements)</t>
  </si>
  <si>
    <t>x2 = 3302. Unit rate 2 p/kWh (elements)</t>
  </si>
  <si>
    <t>x3 = 3303. Unit rate 3 p/kWh (elements)</t>
  </si>
  <si>
    <t>x4 = 3304. Fixed charge p/MPAN/day (elements)</t>
  </si>
  <si>
    <t>x5 = 3305. Capacity charge p/kVA/day (elements)</t>
  </si>
  <si>
    <t>Unit rate 1 p/kWh (total)</t>
  </si>
  <si>
    <t>Unit rate 2 p/kWh (total)</t>
  </si>
  <si>
    <t>Unit rate 3 p/kWh (total)</t>
  </si>
  <si>
    <t>Fixed charge p/MPAN/day (total)</t>
  </si>
  <si>
    <t>Capacity charge p/kVA/day (total)</t>
  </si>
  <si>
    <t>Reactive power charge p/kVArh</t>
  </si>
  <si>
    <t>3401. Net revenues by tariff before matching (£)</t>
  </si>
  <si>
    <t>x3 = 2305. MPANs (in Equivalent volume for each end user)</t>
  </si>
  <si>
    <t>x5 = 2305. Import capacity (kVA) (in Equivalent volume for each end user)</t>
  </si>
  <si>
    <t>x7 = 2305. Rate 1 units (MWh) (in Equivalent volume for each end user)</t>
  </si>
  <si>
    <t>x9 = 2305. Rate 2 units (MWh) (in Equivalent volume for each end user)</t>
  </si>
  <si>
    <t>x11 = 2305. Rate 3 units (MWh) (in Equivalent volume for each end user)</t>
  </si>
  <si>
    <t>Net revenues</t>
  </si>
  <si>
    <t>x1 = 3401. Net revenues by tariff before matching (£)</t>
  </si>
  <si>
    <t>x3 = Total net revenues before matching (£) (in Revenue surplus or shortfall)</t>
  </si>
  <si>
    <t>=x2-x3</t>
  </si>
  <si>
    <t>Total net revenues before matching (£)</t>
  </si>
  <si>
    <t>Revenue shortfall (surplus) £</t>
  </si>
  <si>
    <t>Revenue surplus or shortfall</t>
  </si>
  <si>
    <t>Effect through Unit rate 1 p/kWh</t>
  </si>
  <si>
    <t>Effect through Unit rate 2 p/kWh</t>
  </si>
  <si>
    <t>Effect through Unit rate 3 p/kWh</t>
  </si>
  <si>
    <t>Constraint-free solution</t>
  </si>
  <si>
    <t>Starting point</t>
  </si>
  <si>
    <t>Location</t>
  </si>
  <si>
    <t>Kink</t>
  </si>
  <si>
    <t>Starting slope contributions</t>
  </si>
  <si>
    <t>Starting values</t>
  </si>
  <si>
    <t>Ranking before tie break</t>
  </si>
  <si>
    <t>Counter</t>
  </si>
  <si>
    <t>Tie breaker</t>
  </si>
  <si>
    <t>Ranking</t>
  </si>
  <si>
    <t>Kink reordering</t>
  </si>
  <si>
    <t>Location (ordered)</t>
  </si>
  <si>
    <t>New slope</t>
  </si>
  <si>
    <t>Root</t>
  </si>
  <si>
    <t>Kink 1</t>
  </si>
  <si>
    <t>Kink 2</t>
  </si>
  <si>
    <t>Kink 3</t>
  </si>
  <si>
    <t>Kink 4</t>
  </si>
  <si>
    <t>Kink 5</t>
  </si>
  <si>
    <t>Kink 6</t>
  </si>
  <si>
    <t>Kink 7</t>
  </si>
  <si>
    <t>Kink 8</t>
  </si>
  <si>
    <t>Kink 9</t>
  </si>
  <si>
    <t>Kink 10</t>
  </si>
  <si>
    <t>Kink 11</t>
  </si>
  <si>
    <t>Kink 12</t>
  </si>
  <si>
    <t>Kink 13</t>
  </si>
  <si>
    <t>Kink 14</t>
  </si>
  <si>
    <t>Kink 15</t>
  </si>
  <si>
    <t>Kink 16</t>
  </si>
  <si>
    <t>Kink 17</t>
  </si>
  <si>
    <t>Kink 18</t>
  </si>
  <si>
    <t>Kink 19</t>
  </si>
  <si>
    <t>Kink 20</t>
  </si>
  <si>
    <t>Kink 21</t>
  </si>
  <si>
    <t>Kink 22</t>
  </si>
  <si>
    <t>Kink 23</t>
  </si>
  <si>
    <t>Kink 24</t>
  </si>
  <si>
    <t>Kink 25</t>
  </si>
  <si>
    <t>Kink 26</t>
  </si>
  <si>
    <t>Kink 27</t>
  </si>
  <si>
    <t>Kink 28</t>
  </si>
  <si>
    <t>Kink 29</t>
  </si>
  <si>
    <t>Kink 30</t>
  </si>
  <si>
    <t>Kink 31</t>
  </si>
  <si>
    <t>Kink 32</t>
  </si>
  <si>
    <t>Kink 33</t>
  </si>
  <si>
    <t>Kink 34</t>
  </si>
  <si>
    <t>Kink 35</t>
  </si>
  <si>
    <t>Kink 36</t>
  </si>
  <si>
    <t>Kink 37</t>
  </si>
  <si>
    <t>Kink 38</t>
  </si>
  <si>
    <t>Kink 39</t>
  </si>
  <si>
    <t>Kink 40</t>
  </si>
  <si>
    <t>Kink 41</t>
  </si>
  <si>
    <t>Kink 42</t>
  </si>
  <si>
    <t>Kink 43</t>
  </si>
  <si>
    <t>Kink 44</t>
  </si>
  <si>
    <t>Kink 45</t>
  </si>
  <si>
    <t>Kink 46</t>
  </si>
  <si>
    <t>Kink 47</t>
  </si>
  <si>
    <t>Kink 48</t>
  </si>
  <si>
    <t>Kink 49</t>
  </si>
  <si>
    <t>Kink 50</t>
  </si>
  <si>
    <t>Kink 51</t>
  </si>
  <si>
    <t>Kink 52</t>
  </si>
  <si>
    <t>Kink 53</t>
  </si>
  <si>
    <t>Kink 54</t>
  </si>
  <si>
    <t>Kink 55</t>
  </si>
  <si>
    <t>Kink 56</t>
  </si>
  <si>
    <t>Kink 57</t>
  </si>
  <si>
    <t>Kink 58</t>
  </si>
  <si>
    <t>Kink 59</t>
  </si>
  <si>
    <t>Kink 60</t>
  </si>
  <si>
    <t>Kink 61</t>
  </si>
  <si>
    <t>Kink 62</t>
  </si>
  <si>
    <t>Kink 63</t>
  </si>
  <si>
    <t>Kink 64</t>
  </si>
  <si>
    <t>Kink 65</t>
  </si>
  <si>
    <t>Kink 66</t>
  </si>
  <si>
    <t>Kink 67</t>
  </si>
  <si>
    <t>Kink 68</t>
  </si>
  <si>
    <t>Kink 69</t>
  </si>
  <si>
    <t>Kink 70</t>
  </si>
  <si>
    <t>Kink 71</t>
  </si>
  <si>
    <t>Kink 72</t>
  </si>
  <si>
    <t>Kink 73</t>
  </si>
  <si>
    <t>Kink 74</t>
  </si>
  <si>
    <t>Kink 75</t>
  </si>
  <si>
    <t>Kink 76</t>
  </si>
  <si>
    <t>Kink 77</t>
  </si>
  <si>
    <t>Kink 78</t>
  </si>
  <si>
    <t>Kink 79</t>
  </si>
  <si>
    <t>Kink 80</t>
  </si>
  <si>
    <t>Kink 81</t>
  </si>
  <si>
    <t>Kink 82</t>
  </si>
  <si>
    <t>Kink 83</t>
  </si>
  <si>
    <t>Kink 84</t>
  </si>
  <si>
    <t>Kink 85</t>
  </si>
  <si>
    <t>Kink 86</t>
  </si>
  <si>
    <t>Kink 87</t>
  </si>
  <si>
    <t>Kink 88</t>
  </si>
  <si>
    <t>Kink 89</t>
  </si>
  <si>
    <t>Kink 90</t>
  </si>
  <si>
    <t>Kink 91</t>
  </si>
  <si>
    <t>Kink 92</t>
  </si>
  <si>
    <t>Kink 93</t>
  </si>
  <si>
    <t>Kink 94</t>
  </si>
  <si>
    <t>Kink 95</t>
  </si>
  <si>
    <t>Kink 96</t>
  </si>
  <si>
    <t>Kink 97</t>
  </si>
  <si>
    <t>Kink 98</t>
  </si>
  <si>
    <t>Kink 99</t>
  </si>
  <si>
    <t>Calculation =MIN(x1)</t>
  </si>
  <si>
    <t>3601. Tariffs before rounding</t>
  </si>
  <si>
    <t>=x1+x2</t>
  </si>
  <si>
    <t>=x3+x4</t>
  </si>
  <si>
    <t>=x5+x6</t>
  </si>
  <si>
    <t>=x7+x8</t>
  </si>
  <si>
    <t>=x9+x10</t>
  </si>
  <si>
    <t>=x11+x12</t>
  </si>
  <si>
    <t>Unit rate 1 p/kWh</t>
  </si>
  <si>
    <t>Unit rate 2 p/kWh</t>
  </si>
  <si>
    <t>Unit rate 3 p/kWh</t>
  </si>
  <si>
    <t>Fixed charge p/MPAN/day</t>
  </si>
  <si>
    <t>Capacity charge p/kVA/day</t>
  </si>
  <si>
    <t>3602. Decimal places</t>
  </si>
  <si>
    <t>Decimal places</t>
  </si>
  <si>
    <t>3603. Tariff rounding</t>
  </si>
  <si>
    <t>x1 = 3601. Unit rate 1 p/kWh before rounding (in Tariffs before rounding)</t>
  </si>
  <si>
    <t>x2 = 3602. Unit rate 1 p/kWh decimal places (in Decimal places)</t>
  </si>
  <si>
    <t>x3 = 3601. Unit rate 2 p/kWh before rounding (in Tariffs before rounding)</t>
  </si>
  <si>
    <t>x4 = 3602. Unit rate 2 p/kWh decimal places (in Decimal places)</t>
  </si>
  <si>
    <t>x5 = 3601. Unit rate 3 p/kWh before rounding (in Tariffs before rounding)</t>
  </si>
  <si>
    <t>x6 = 3602. Unit rate 3 p/kWh decimal places (in Decimal places)</t>
  </si>
  <si>
    <t>x7 = 3601. Fixed charge p/MPAN/day before rounding (in Tariffs before rounding)</t>
  </si>
  <si>
    <t>x8 = 3602. Fixed charge p/MPAN/day decimal places (in Decimal places)</t>
  </si>
  <si>
    <t>x9 = 3601. Capacity charge p/kVA/day before rounding (in Tariffs before rounding)</t>
  </si>
  <si>
    <t>x10 = 3602. Capacity charge p/kVA/day decimal places (in Decimal places)</t>
  </si>
  <si>
    <t>=ROUND(x1,x2)-x1</t>
  </si>
  <si>
    <t>=ROUND(x3,x4)-x3</t>
  </si>
  <si>
    <t>=ROUND(x5,x6)-x5</t>
  </si>
  <si>
    <t>=ROUND(x7,x8)-x7</t>
  </si>
  <si>
    <t>=ROUND(x9,x10)-x9</t>
  </si>
  <si>
    <t>=ROUND(x11,x12)-x11</t>
  </si>
  <si>
    <t>3604. All the way tariffs</t>
  </si>
  <si>
    <t>x2 = 3603. Unit rate 1 p/kWh rounding (in Tariff rounding)</t>
  </si>
  <si>
    <t>x4 = 3603. Unit rate 2 p/kWh rounding (in Tariff rounding)</t>
  </si>
  <si>
    <t>x6 = 3603. Unit rate 3 p/kWh rounding (in Tariff rounding)</t>
  </si>
  <si>
    <t>x8 = 3603. Fixed charge p/MPAN/day rounding (in Tariff rounding)</t>
  </si>
  <si>
    <t>x10 = 3603. Capacity charge p/kVA/day rounding (in Tariff rounding)</t>
  </si>
  <si>
    <t>3605. Net revenues by tariff from rounding</t>
  </si>
  <si>
    <t>x2 = 3603. Fixed charge p/MPAN/day rounding (in Tariff rounding)</t>
  </si>
  <si>
    <t>x4 = 3603. Capacity charge p/kVA/day rounding (in Tariff rounding)</t>
  </si>
  <si>
    <t>Net revenues by tariff from rounding</t>
  </si>
  <si>
    <t>3606. Revenue forecast summary</t>
  </si>
  <si>
    <t>x3 = 3605. Net revenues by tariff from rounding</t>
  </si>
  <si>
    <t>x4 = Total net revenues before matching (£) (in Revenue forecast summary)</t>
  </si>
  <si>
    <t>x6 = Total net revenues from rounding (£) (in Revenue forecast summary)</t>
  </si>
  <si>
    <t>x7 = Total net revenues (£) (in Revenue forecast summary)</t>
  </si>
  <si>
    <t>=x4+x5+x6</t>
  </si>
  <si>
    <t>=x7-x8</t>
  </si>
  <si>
    <t>Total net revenues from rounding (£)</t>
  </si>
  <si>
    <t>Total net revenues (£)</t>
  </si>
  <si>
    <t>Deviation from target revenue (£)</t>
  </si>
  <si>
    <t>Revenue forecast summary</t>
  </si>
  <si>
    <t>3607. Tariffs</t>
  </si>
  <si>
    <t>x1 = 3604. Unit rate 1 p/kWh (in All the way tariffs)</t>
  </si>
  <si>
    <t>x2 = 2304. Discount for each tariff (except for fixed charges) (in LDNO discounts and volumes adjusted for discount)</t>
  </si>
  <si>
    <t>x3 = 3604. Unit rate 2 p/kWh (in All the way tariffs)</t>
  </si>
  <si>
    <t>x4 = 3604. Unit rate 3 p/kWh (in All the way tariffs)</t>
  </si>
  <si>
    <t>x5 = 3604. Fixed charge p/MPAN/day (in All the way tariffs)</t>
  </si>
  <si>
    <t>x6 = 2304. Discount for each tariff for fixed charges only (in LDNO discounts and volumes adjusted for discount)</t>
  </si>
  <si>
    <t>x7 = 3604. Capacity charge p/kVA/day (in All the way tariffs)</t>
  </si>
  <si>
    <t>=ROUND(x1*(1-x2),3)</t>
  </si>
  <si>
    <t>=ROUND(x3*(1-x2),3)</t>
  </si>
  <si>
    <t>=ROUND(x4*(1-x2),3)</t>
  </si>
  <si>
    <t>=ROUND(x5*(1-x6),2)</t>
  </si>
  <si>
    <t>=ROUND(x7*(1-x2),2)</t>
  </si>
  <si>
    <t>3701. Tariffs</t>
  </si>
  <si>
    <t>x1 = 3607. Unit rate 1 p/kWh (in Tariffs)</t>
  </si>
  <si>
    <t>x2 = 3607. Unit rate 2 p/kWh (in Tariffs)</t>
  </si>
  <si>
    <t>x3 = 3607. Unit rate 3 p/kWh (in Tariffs)</t>
  </si>
  <si>
    <t>x4 = 3607. Fixed charge p/MPAN/day (in Tariffs)</t>
  </si>
  <si>
    <t>x5 = 3607. Capacity charge p/kVA/day (in Tariffs)</t>
  </si>
  <si>
    <t>Input data</t>
  </si>
  <si>
    <t>= x3</t>
  </si>
  <si>
    <t>= x4</t>
  </si>
  <si>
    <t>= x6</t>
  </si>
  <si>
    <t>Open LLFCs</t>
  </si>
  <si>
    <t>PCs</t>
  </si>
  <si>
    <t>Closed LLFCs</t>
  </si>
  <si>
    <t>5-8</t>
  </si>
  <si>
    <t>This sheet is for information only.  It can be deleted without affecting any calculations elsewhere in the model.</t>
  </si>
  <si>
    <t xml:space="preserve"> </t>
  </si>
  <si>
    <t>x1 = 1053. Rate 1 units (MWh) by tariff (in Volume forecasts for the charging year)</t>
  </si>
  <si>
    <t>x2 = 1053. Rate 2 units (MWh) by tariff (in Volume forecasts for the charging year)</t>
  </si>
  <si>
    <t>x3 = 1053. Rate 3 units (MWh) by tariff (in Volume forecasts for the charging year)</t>
  </si>
  <si>
    <t>x4 = 1053. MPANs by tariff (in Volume forecasts for the charging year)</t>
  </si>
  <si>
    <t>x6 = 3607. Fixed charge p/MPAN/day (in Tariffs)</t>
  </si>
  <si>
    <t>x7 = 3607. Capacity charge p/kVA/day (in Tariffs)</t>
  </si>
  <si>
    <t>x8 = 1053. Import capacity (kVA) by tariff (in Volume forecasts for the charging year)</t>
  </si>
  <si>
    <t>=x1+x2+x3</t>
  </si>
  <si>
    <t>=x6*x5*x4/100</t>
  </si>
  <si>
    <t>=x7*x5*x8/100</t>
  </si>
  <si>
    <t>Net revenues (£)</t>
  </si>
  <si>
    <t>Revenues from unit rates (£)</t>
  </si>
  <si>
    <t>Revenues from fixed charges (£)</t>
  </si>
  <si>
    <t>Revenues from capacity charges (£)</t>
  </si>
  <si>
    <t>Revenues from reactive power charges (£)</t>
  </si>
  <si>
    <t>Average p/kWh</t>
  </si>
  <si>
    <t>Average £/MPAN</t>
  </si>
  <si>
    <t>Average unit rate p/kWh</t>
  </si>
  <si>
    <t>Net revenues from unit rate 1 (£)</t>
  </si>
  <si>
    <t>Net revenues from unit rate 2 (£)</t>
  </si>
  <si>
    <t>Net revenues from unit rate 3 (£)</t>
  </si>
  <si>
    <t>Rate 1 revenue proportion</t>
  </si>
  <si>
    <t>Rate 2 revenue proportion</t>
  </si>
  <si>
    <t>Rate 3 revenue proportion</t>
  </si>
  <si>
    <t>Fixed charge proportion</t>
  </si>
  <si>
    <t>Capacity charge proportion</t>
  </si>
  <si>
    <t>Reactive power charge proportion</t>
  </si>
  <si>
    <t>=SUM(x7)</t>
  </si>
  <si>
    <t>Total units (MWh)</t>
  </si>
  <si>
    <t>Total MPANs</t>
  </si>
  <si>
    <t>Total net revenues from unit rates (£)</t>
  </si>
  <si>
    <t>Total revenues from fixed charges (£)</t>
  </si>
  <si>
    <t>Total revenues from capacity charges (£)</t>
  </si>
  <si>
    <t>Total revenues from reactive power charges (£)</t>
  </si>
  <si>
    <t>Revenue summary by tariff component</t>
  </si>
  <si>
    <t>one of its working groups.  Only the DCUSA Panel and its working groups have authority to approve this</t>
  </si>
  <si>
    <t>material as meeting their requirements.  Reckon LLP makes no representation about the suitability of this</t>
  </si>
  <si>
    <t>material for the purposes of complying with any licence conditions or furthering any relevant objective.</t>
  </si>
  <si>
    <t>---</t>
  </si>
  <si>
    <t>PerlModule: CDCM</t>
  </si>
  <si>
    <t>colour: orange</t>
  </si>
  <si>
    <t>drm: top500gsp</t>
  </si>
  <si>
    <t>extraLevels: 1</t>
  </si>
  <si>
    <t>noReplacement: blanket</t>
  </si>
  <si>
    <t>pcd: 1</t>
  </si>
  <si>
    <t>portfolio: 1</t>
  </si>
  <si>
    <t>standing: sub132</t>
  </si>
  <si>
    <t>validation: lenientnomsg</t>
  </si>
  <si>
    <t>'~codeValidation':</t>
  </si>
  <si>
    <t xml:space="preserve">  SpreadsheetModel/Label.pm: 053d8801da63a168d467ae3cf12c6c32325befe3</t>
  </si>
  <si>
    <t>This sheet contains the CDCM tariffs that are produced from the CDCM input data, after the Macro on this sheet has been run.  It contains the tariffs for each of the 5 years.</t>
  </si>
  <si>
    <t>Tariffs ARP</t>
  </si>
  <si>
    <t>This sheet contains the CDCM input sheet for base year +4 (Y+4) in a format that can be copy and pasted (paste-value) into the CDCM spreadsheet model.</t>
  </si>
  <si>
    <t>CDCM Input Sheet (Y + 4)</t>
  </si>
  <si>
    <t>This sheet contains the CDCM input sheet for base year +3 (Y+3) in a format that can be copy and pasted (paste-value) into the CDCM spreadsheet model.</t>
  </si>
  <si>
    <t>CDCM Input Sheet (Y + 3)</t>
  </si>
  <si>
    <t>This sheet contains the CDCM input sheet for base year +2 (Y+2) in a format that can be copy and pasted (paste-value) into the CDCM spreadsheet model.</t>
  </si>
  <si>
    <t>CDCM Input Sheet (Y + 2)</t>
  </si>
  <si>
    <t>This sheet contains the CDCM input sheet for base year +1 (Y+1) in a format that can be copy and pasted (paste-value) into the CDCM spreadsheet model.</t>
  </si>
  <si>
    <t>CDCM Input Sheet (Y + 1)</t>
  </si>
  <si>
    <t>This sheet contains the CDCM input sheet for base year 0 (Y) in a format that can be copy and pasted (paste-value) into the CDCM spreadsheet model.</t>
  </si>
  <si>
    <t>CDCM Input Sheet (Y)</t>
  </si>
  <si>
    <t>Contains the time bands that the DNO plans to use for the coming year and advance warning of any changes.</t>
  </si>
  <si>
    <t>CDCM Timebands</t>
  </si>
  <si>
    <t>This sheet contains forecast CDCM volume data (table 1053).  The matrix at the top can be used to apply different growth rates to groups of customers.</t>
  </si>
  <si>
    <t>CDCM Volume Forecasts</t>
  </si>
  <si>
    <t>This sheet contains the forecast CDCM matrix of applicability data (table 1025 - 1028).  The default value is that the same matrix will be used for each of the five years.</t>
  </si>
  <si>
    <t>Mat of App</t>
  </si>
  <si>
    <t>This sheet contains historical and forecast data for all CDCM inputs except for volume data (table 1053) and matrix of applicability data (table 1025 - 1028).
The RPI forecast is seperated out and listed as a standalone assumption.  Any forecasts that relate to RPI will be linked to this row.
Comments are provided alongside each forecast explaining any assumptions made by the DNO.</t>
  </si>
  <si>
    <t>CDCM Forecast Data</t>
  </si>
  <si>
    <t>This sheet contains the DNO's commentary on the forecast input CDCM data for the forecast over the 5 year period.</t>
  </si>
  <si>
    <t>Commentary</t>
  </si>
  <si>
    <t>Detail</t>
  </si>
  <si>
    <t>Sheet Name</t>
  </si>
  <si>
    <t>Contents:</t>
  </si>
  <si>
    <t>Date of Issue:</t>
  </si>
  <si>
    <t>Company:</t>
  </si>
  <si>
    <t>Correction Factor (D)</t>
  </si>
  <si>
    <t>Pass-Through Others (B5)</t>
  </si>
  <si>
    <t>Regulatory Year</t>
  </si>
  <si>
    <t>t+4</t>
  </si>
  <si>
    <t>t+3</t>
  </si>
  <si>
    <t>t+2</t>
  </si>
  <si>
    <t>t+1</t>
  </si>
  <si>
    <t>t</t>
  </si>
  <si>
    <t>t-1</t>
  </si>
  <si>
    <t>t-2</t>
  </si>
  <si>
    <t>Assumptions</t>
  </si>
  <si>
    <t>Licence Term</t>
  </si>
  <si>
    <t>Description</t>
  </si>
  <si>
    <t xml:space="preserve">Date: </t>
  </si>
  <si>
    <t>Schedule 15 table 1</t>
  </si>
  <si>
    <t>1092 Average kVAr by kVA, by network level</t>
  </si>
  <si>
    <t>BLACK</t>
  </si>
  <si>
    <t>GREEN</t>
  </si>
  <si>
    <t>AMBER</t>
  </si>
  <si>
    <t>RED</t>
  </si>
  <si>
    <t>1069 Peaking probabilities by network level</t>
  </si>
  <si>
    <t>1068 Typical annual hours by distribution time band</t>
  </si>
  <si>
    <t>YELLOW</t>
  </si>
  <si>
    <t>1062 Average split of rate 2 units by distribution time band</t>
  </si>
  <si>
    <t>1061 Average split of rate 1 units by distribution time band</t>
  </si>
  <si>
    <t>1060 Customer contributions under current connection charging policy</t>
  </si>
  <si>
    <t>1059 Other Expenditure (£/year)</t>
  </si>
  <si>
    <t>1055 Transmission exit charges (£/year)</t>
  </si>
  <si>
    <t>1041 Load profile data for demand users: load factor</t>
  </si>
  <si>
    <t>1041 Load profile data for demand users: coincidence factor</t>
  </si>
  <si>
    <t>1037 Embedded network (LDNO) discounts</t>
  </si>
  <si>
    <t>1032 Loss adjustment factors to transmission</t>
  </si>
  <si>
    <t>1028 Matrix of applicability of HV service models to tariffs with fixed charges</t>
  </si>
  <si>
    <t>1026 Matrix of applicability of LV service models to unmetered tariffs</t>
  </si>
  <si>
    <t>1025 Matrix of applicability of LV service models to tariffs with fixed charges</t>
  </si>
  <si>
    <t>1023 HV service model asset cost (£)</t>
  </si>
  <si>
    <t>1022 LV service model asset cost (£)</t>
  </si>
  <si>
    <t>1020 Gross asset cost by network level (£)</t>
  </si>
  <si>
    <t>1019 Network model GSP demand (MW)</t>
  </si>
  <si>
    <t>1018 Proportion of relevant load going through 132kV/HV direct transformation</t>
  </si>
  <si>
    <t>1017 Diversity allowance between top and bottom of network level</t>
  </si>
  <si>
    <t>Days in the charging period</t>
  </si>
  <si>
    <t>1010 Financial and general assumptions</t>
  </si>
  <si>
    <t>1000 Company name, charging year and model version</t>
  </si>
  <si>
    <t>RPI Forecast:</t>
  </si>
  <si>
    <t>RIIO - ED1</t>
  </si>
  <si>
    <t>DPCR -&gt;</t>
  </si>
  <si>
    <t>2017/18</t>
  </si>
  <si>
    <t>2016/17</t>
  </si>
  <si>
    <t>Charging Year -&gt;</t>
  </si>
  <si>
    <t>Y+4</t>
  </si>
  <si>
    <t>Y+3</t>
  </si>
  <si>
    <t>Y+2</t>
  </si>
  <si>
    <t>Y+1</t>
  </si>
  <si>
    <t>Y</t>
  </si>
  <si>
    <t>Y-1</t>
  </si>
  <si>
    <t>Y-2</t>
  </si>
  <si>
    <t>Year Ref -&gt;</t>
  </si>
  <si>
    <t>Forecast CDCM Values</t>
  </si>
  <si>
    <t>Historical CDCM Input Data (Actuals)</t>
  </si>
  <si>
    <t>Status</t>
  </si>
  <si>
    <t>Information to be used calculating tariffs in year t</t>
  </si>
  <si>
    <t>Y - 3</t>
  </si>
  <si>
    <t>Y - 4</t>
  </si>
  <si>
    <t>1069 - Peaking probabilities by network level</t>
  </si>
  <si>
    <t>1062 - Average split of rate 2 units by distribution time band</t>
  </si>
  <si>
    <t>1061 - Average split of rate 1 units by distribution time band</t>
  </si>
  <si>
    <t>1041 - load profile for demand users - load factors</t>
  </si>
  <si>
    <t>1041 - load profile for demand users - coincidence factors</t>
  </si>
  <si>
    <t>Year Y - 4</t>
  </si>
  <si>
    <t>Year Y - 3</t>
  </si>
  <si>
    <t>Year to which input data relates</t>
  </si>
  <si>
    <t>Charges for (year Y)</t>
  </si>
  <si>
    <t>DNO</t>
  </si>
  <si>
    <t>Tariff</t>
  </si>
  <si>
    <t>Customer Category</t>
  </si>
  <si>
    <t>1053. Volume forecasts for the charging year:</t>
  </si>
  <si>
    <t>Total Reactive</t>
  </si>
  <si>
    <t>Total Import Capacity</t>
  </si>
  <si>
    <t>No. of MPANs</t>
  </si>
  <si>
    <t>Total Volume</t>
  </si>
  <si>
    <t>Summary Data</t>
  </si>
  <si>
    <t>Y + 4</t>
  </si>
  <si>
    <t>Y + 3</t>
  </si>
  <si>
    <t>Y + 2</t>
  </si>
  <si>
    <t>Y + 1</t>
  </si>
  <si>
    <t>REACTIVE POWER</t>
  </si>
  <si>
    <t>IMPORT CAPACITY</t>
  </si>
  <si>
    <t>CUSTOMER NUMBERS</t>
  </si>
  <si>
    <t>VOLUME - GREEN BAND</t>
  </si>
  <si>
    <t>VOLUME - AMBER BAND</t>
  </si>
  <si>
    <t>VOLUME - RED BAND</t>
  </si>
  <si>
    <t>Growth Rates (%)</t>
  </si>
  <si>
    <t>WE</t>
  </si>
  <si>
    <t>WD 
(incl. bank holidays) Mar to Oct</t>
  </si>
  <si>
    <t>WD 
(incl. bank holidays) Nov to Feb</t>
  </si>
  <si>
    <t xml:space="preserve">Amber </t>
  </si>
  <si>
    <t>WD 
(incl. bank holidays)</t>
  </si>
  <si>
    <t>Year 4:</t>
  </si>
  <si>
    <t>Year 3:</t>
  </si>
  <si>
    <t>Year 2:</t>
  </si>
  <si>
    <t>Year 1:</t>
  </si>
  <si>
    <t>Year 0:</t>
  </si>
  <si>
    <t>Shortcut</t>
  </si>
  <si>
    <t>TARIFF</t>
  </si>
  <si>
    <t>Typical Bills by Customer Category</t>
  </si>
  <si>
    <t>Source: operational data analysis.</t>
  </si>
  <si>
    <t>See notes on table 1061.</t>
  </si>
  <si>
    <t>This table relates to the second TPR or charging period for each tariff.</t>
  </si>
  <si>
    <t>the proportion of the units recorded on the relevant TPR or within the relevant charging period that would fall with each time band.</t>
  </si>
  <si>
    <t>For each user type and tariff structure, the figure entered against each of the time bands used for network analysis is</t>
  </si>
  <si>
    <t>Each line relates to a different user type and tariff structure.</t>
  </si>
  <si>
    <t>This table relates to the first TPR or charging period for each tariff.</t>
  </si>
  <si>
    <t>Table 1</t>
  </si>
  <si>
    <t>This sheet contains the DNO's table 1 produced in accordance with DCUSA Schedule 15 "cost information table".</t>
  </si>
  <si>
    <t>Input data (Y)</t>
  </si>
  <si>
    <t>Input data (Y+1)</t>
  </si>
  <si>
    <t>Input data (Y+2)</t>
  </si>
  <si>
    <t>Input data (Y+3)</t>
  </si>
  <si>
    <t>Input data (Y+4)</t>
  </si>
  <si>
    <t>'~datasetSource': Empty dataset</t>
  </si>
  <si>
    <t>'~datasetName': Blank</t>
  </si>
  <si>
    <t>x3 = 2905. Pay-as-you-go unit rate 3 (p/kWh) — for Tariffs with Unit rate 3 p/kWh from PAYG 3 kWh &amp; customer</t>
  </si>
  <si>
    <t>x2 = 2905. Pay-as-you-go unit rate 3 (p/kWh) — for Tariffs with Unit rate 3 p/kWh from PAYG 3 kWh</t>
  </si>
  <si>
    <t>x1 = 3006. Unit rate 3 total p/kWh (taking account of standing charges) — for Tariffs with Unit rate 3 p/kWh from Standard 3 kWh</t>
  </si>
  <si>
    <t>x3 = 2904. Pay-as-you-go unit rate 2 (p/kWh) — for Tariffs with Unit rate 2 p/kWh from PAYG 2 kWh &amp; customer</t>
  </si>
  <si>
    <t>x2 = 2904. Pay-as-you-go unit rate 2 (p/kWh) — for Tariffs with Unit rate 2 p/kWh from PAYG 2 kWh</t>
  </si>
  <si>
    <t>x1 = 3005. Unit rate 2 total p/kWh (taking account of standing charges) — for Tariffs with Unit rate 2 p/kWh from Standard 2 kWh</t>
  </si>
  <si>
    <t>x1 = 3004. Unit rate 1 total p/kWh (taking account of standing charges) — for Tariffs with Unit rate 1 p/kWh from Standard 1 kWh</t>
  </si>
  <si>
    <t>for active power credits at the voltage of connection but are charged reactive unit charges for costs caused at that voltage.</t>
  </si>
  <si>
    <t>These factors differ from the network use factors for active power charges/credits in the case of generators, who do not qualify</t>
  </si>
  <si>
    <t>x1 = 3003. Yardstick components p/kWh (taking account of standing charges)</t>
  </si>
  <si>
    <t>Calculation =(1-x1)*x2</t>
  </si>
  <si>
    <t>x2 = 2905. Contributions to pay-as-you-go unit rate 3 (p/kWh)</t>
  </si>
  <si>
    <t>3006. Contributions to unit rate 3 p/kWh by network level (taking account of standing charges)</t>
  </si>
  <si>
    <t>x2 = 2904. Contributions to pay-as-you-go unit rate 2 (p/kWh)</t>
  </si>
  <si>
    <t>3005. Contributions to unit rate 2 p/kWh by network level (taking account of standing charges)</t>
  </si>
  <si>
    <t>x2 = 2903. Contributions to pay-as-you-go unit rate 1 (p/kWh)</t>
  </si>
  <si>
    <t>3004. Contributions to unit rate 1 p/kWh by network level (taking account of standing charges)</t>
  </si>
  <si>
    <t>3003. Yardstick components p/kWh (taking account of standing charges)</t>
  </si>
  <si>
    <t>Calculation =x1*x2*x3*(1-x4)*100/(24*x5)</t>
  </si>
  <si>
    <t>2905. Contributions to pay-as-you-go unit rate 3 (p/kWh)</t>
  </si>
  <si>
    <t>2904. Contributions to pay-as-you-go unit rate 2 (p/kWh)</t>
  </si>
  <si>
    <t>2903. Contributions to pay-as-you-go unit rate 1 (p/kWh)</t>
  </si>
  <si>
    <t>Contribution to peak band kW</t>
  </si>
  <si>
    <t>Peak band special load coefficient</t>
  </si>
  <si>
    <t>x3 = Peak band special load coefficient (in Estimated contributions to peak demand)</t>
  </si>
  <si>
    <t>Peak band special load coefficient for three-rate tariffs</t>
  </si>
  <si>
    <t>Peak band special load coefficient for one-rate tariffs</t>
  </si>
  <si>
    <t>Peak band load coefficient</t>
  </si>
  <si>
    <t>Peak band load coefficient for three-rate tariffs</t>
  </si>
  <si>
    <t>Peak band load coefficient for two-rate tariffs</t>
  </si>
  <si>
    <t>voltage of connection. The factors in this table are before any adjustment for a 132kV/HV network level or for generation-dominated areas.</t>
  </si>
  <si>
    <t>generators receive credits only in respect of network levels above the voltage of connection. Generators do not receive credits at the</t>
  </si>
  <si>
    <t>These network use factors indicate to what extent each network level is used by each tariff. This table reflects the policy that</t>
  </si>
  <si>
    <t>Target CDCM net revenue (£/year)</t>
  </si>
  <si>
    <t>Source: mostly forecasts and price control formulae.</t>
  </si>
  <si>
    <t>1076. Target CDCM net revenue (£/year)</t>
  </si>
  <si>
    <t>Note: These tariffs are based on the assumptions set out in the CDCM forecast Data and CDCM Volume Forecast sheets.
If the assumptions in these sheets have been changed, the tariffs can be updated by pressing the button below.</t>
  </si>
  <si>
    <t>This is an ancillary sheet used in calculations</t>
  </si>
  <si>
    <t>8&amp;0</t>
  </si>
  <si>
    <t>LDNO HV: LV Generation NHH or Aggregate HH</t>
  </si>
  <si>
    <t>LDNO HV: LV Network Non-Domestic Non-CT</t>
  </si>
  <si>
    <t>LDNO HV: LV Network Domestic</t>
  </si>
  <si>
    <t>LDNO LV: LV Generation NHH or Aggregate HH</t>
  </si>
  <si>
    <t>LDNO LV: LV Network Non-Domestic Non-CT</t>
  </si>
  <si>
    <t>LDNO LV: LV Network Domestic</t>
  </si>
  <si>
    <t>LV Generation NHH or Aggregate HH</t>
  </si>
  <si>
    <t>LV Network Non-Domestic Non-CT</t>
  </si>
  <si>
    <t>LV Network Domestic</t>
  </si>
  <si>
    <t>&gt; LV Generation NHH or Aggregate HH</t>
  </si>
  <si>
    <t>&gt; LV Network Non-Domestic Non-CT</t>
  </si>
  <si>
    <t>&gt; LV Network Domestic</t>
  </si>
  <si>
    <t>timeOfDay: timeOfDay179</t>
  </si>
  <si>
    <t>fixedCap: 1-4</t>
  </si>
  <si>
    <t>alwaysUseRAG: 1</t>
  </si>
  <si>
    <t>x1 = 3107. Fixed charge from standing charges factors p/MPAN/day — for Tariffs with Fixed charge p/MPAN/day from Fixed from network &amp; customer</t>
  </si>
  <si>
    <t>x6 = 2712. Operating expenditure for unmetered customer assets (p/kWh) — for Tariffs with Unit rate 1 p/kWh from PAYG 1 kWh &amp; customer</t>
  </si>
  <si>
    <t>x4 = 2902. Pay-as-you-go yardstick unit rate (p/kWh) — for Tariffs with Unit rate 1 p/kWh from PAYG yardstick kWh</t>
  </si>
  <si>
    <t>x3 = 2903. Pay-as-you-go unit rate 1 (p/kWh) — for Tariffs with Unit rate 1 p/kWh from PAYG 1 kWh &amp; customer</t>
  </si>
  <si>
    <t>x2 = 2903. Pay-as-you-go unit rate 1 (p/kWh) — for Tariffs with Unit rate 1 p/kWh from PAYG 1 kWh</t>
  </si>
  <si>
    <t>x2 = 3106. Deemed average maximum kVA for each tariff</t>
  </si>
  <si>
    <t>3107. Capacity-driven fixed charge elements from standing charges factors p/MPAN/day</t>
  </si>
  <si>
    <t>Deemed average maximum kVA for each tariff</t>
  </si>
  <si>
    <t>x2 = 3105. Average maximum kVA by exit point</t>
  </si>
  <si>
    <t>x1 = 3101. Mapping of tariffs to tariff groups</t>
  </si>
  <si>
    <t>3106. Deemed average maximum kVA for each tariff</t>
  </si>
  <si>
    <t>Average maximum kVA by exit point</t>
  </si>
  <si>
    <t>HV network aggregated tariffs</t>
  </si>
  <si>
    <t>LV substation aggregated tariffs</t>
  </si>
  <si>
    <t>LV medium non-domestic tariffs</t>
  </si>
  <si>
    <t>LV domestic and small non-domestic tariffs</t>
  </si>
  <si>
    <t>Calculation =IF(x1,x2/x1/x3,0)</t>
  </si>
  <si>
    <t>3105. Average maximum kVA by exit point</t>
  </si>
  <si>
    <t>Aggregate capacity (kW)</t>
  </si>
  <si>
    <t>x2 = 3102. Unit-based contributions to aggregate maximum load (kW) (in Capacity use for tariffs charged for capacity on an exit point basis)</t>
  </si>
  <si>
    <t>Aggregate number of users charged for capacity on an exit point basis</t>
  </si>
  <si>
    <t>x2 = 3102. MPANs (in Equivalent volume for each end user) (in Capacity use for tariffs charged for capacity on an exit point basis)</t>
  </si>
  <si>
    <t>Unit-based contributions to aggregate maximum load (kW)</t>
  </si>
  <si>
    <t>=x1/x2/(24*x3)*1000</t>
  </si>
  <si>
    <t>x4 = 2305. MPANs (in Equivalent volume for each end user)</t>
  </si>
  <si>
    <t>3102. Capacity use for tariffs charged for capacity on an exit point basis</t>
  </si>
  <si>
    <t>3101. Mapping of tariffs to tariff groups</t>
  </si>
  <si>
    <t>x1 = 2412. Normalised peaking probabilities (in Normalisation of peaking probabilities)</t>
  </si>
  <si>
    <t>Load coefficient correction factor for the group</t>
  </si>
  <si>
    <t>Calculation =IF(SUM(x1),SUM(x2)/SUM(x1),0)</t>
  </si>
  <si>
    <t>x5 = 2414. Pseudo load coefficient by time band and network level</t>
  </si>
  <si>
    <t>x1 = 2424. Off-peak non half hourly pseudo timeband load coefficients</t>
  </si>
  <si>
    <t>Non-domestic equalisation group</t>
  </si>
  <si>
    <t>Domestic equalisation group</t>
  </si>
  <si>
    <t>Calculation =(x1*x2+x3*x4+x5*x6+x7*x8)/(x1*x2+x3*x4+x5*x6+x7*x8*x9)</t>
  </si>
  <si>
    <t>x1 = 2410. Use of distribution time bands by units in demand forecast for three-rate tariffs (in Calculation of implied load coefficients for three-rate users)</t>
  </si>
  <si>
    <t>Aggregated half hourly units (MWh)</t>
  </si>
  <si>
    <t>Calculation =(x1*x2+x3*x4+x5*x6)/(x1+x3+x5)</t>
  </si>
  <si>
    <t>x2 = 2421. Multi rate non half hourly timeband use</t>
  </si>
  <si>
    <t>x1 = 2414. Pseudo load coefficient by time band and network level</t>
  </si>
  <si>
    <t>2424. Off-peak non half hourly pseudo timeband load coefficients</t>
  </si>
  <si>
    <t>x4 = 2421. Multi rate non half hourly timeband use</t>
  </si>
  <si>
    <t>x1 = 2409. Use of distribution time bands by units in demand forecast for two-rate tariffs (in Calculation of implied load coefficients for two-rate users)</t>
  </si>
  <si>
    <t>2421. Multi rate non half hourly timeband use</t>
  </si>
  <si>
    <t>Single rate non half hourly units (MWh)</t>
  </si>
  <si>
    <t>x1 = 2403. Split of rate 1 units between distribution time bands</t>
  </si>
  <si>
    <t>Multi rate non half hourly units (MWh)</t>
  </si>
  <si>
    <t>Off-peak non half hourly units (MWh)</t>
  </si>
  <si>
    <t>x3 = 2413. Peaking probabilities by network level (reshaped)</t>
  </si>
  <si>
    <t>x2 = 2411. Load coefficient correction factor (kW at peak in band / band average kW) (in Calculation of adjusted time band load coefficients)</t>
  </si>
  <si>
    <t>2414. Pseudo load coefficient by time band and network level</t>
  </si>
  <si>
    <t>2413. Peaking probabilities by network level (reshaped)</t>
  </si>
  <si>
    <t>2412. Normalisation of peaking probabilities</t>
  </si>
  <si>
    <t>=IF(x4&lt;&gt;0,x5/x4,IF(x5&lt;0,-1,1))</t>
  </si>
  <si>
    <t>= x1 or x2 or x3</t>
  </si>
  <si>
    <t>x5 = 2302. Load coefficient</t>
  </si>
  <si>
    <t>x4 = Peak band load coefficient (in Calculation of adjusted time band load coefficients)</t>
  </si>
  <si>
    <t>x3 = 2410. Peak band load coefficient for three-rate tariffs (in Calculation of implied load coefficients for three-rate users)</t>
  </si>
  <si>
    <t>x2 = 2409. Peak band load coefficient for two-rate tariffs (in Calculation of implied load coefficients for two-rate users)</t>
  </si>
  <si>
    <t>x1 = 2408. Peak band load coefficient for one-rate tariffs (in Calculation of implied load coefficients for one-rate users)</t>
  </si>
  <si>
    <t>2411. Calculation of adjusted time band load coefficients</t>
  </si>
  <si>
    <t>2410. Calculation of implied load coefficients for three-rate users</t>
  </si>
  <si>
    <t>2409. Calculation of implied load coefficients for two-rate users</t>
  </si>
  <si>
    <t>Peak band load coefficient for one-rate tariffs</t>
  </si>
  <si>
    <t>Use of distribution time bands by units in demand forecast for one-rate tariffs</t>
  </si>
  <si>
    <t>x5 = Use of distribution time bands by units in demand forecast for one-rate tariffs (in Calculation of implied load coefficients for one-rate users)</t>
  </si>
  <si>
    <t>2408. Calculation of implied load coefficients for one-rate users</t>
  </si>
  <si>
    <t>Aggregated demand</t>
  </si>
  <si>
    <t>Site-specific demand</t>
  </si>
  <si>
    <t>Generation</t>
  </si>
  <si>
    <t>Not used</t>
  </si>
  <si>
    <t>Note: These tariffs are based on the assumptions set out in the CDCM forecast Data and CDCM Volume Forecast sheets.
If the assumptions in these sheets have been changed, the typical bills can be updated by pressing the button on the Tariffs ARP sheet.</t>
  </si>
  <si>
    <t>This sheet contains all the input data (except LLFCs which might be entered directly into the Tariff sheet).</t>
  </si>
  <si>
    <t>2202. LV unmetered service model assets £/(MWh/year)</t>
  </si>
  <si>
    <t>LV unmetered service model assets £/(MWh/year)</t>
  </si>
  <si>
    <t>2203. LV unmetered service model asset charge (p/kWh)</t>
  </si>
  <si>
    <t>x2 = 2202. LV unmetered service model assets £/(MWh/year)</t>
  </si>
  <si>
    <t>LV unmetered service model asset charge (p/kWh)</t>
  </si>
  <si>
    <t>2415. Single rate non half hourly pseudo timeband load coefficients</t>
  </si>
  <si>
    <t>2416. Single rate non half hourly units (MWh)</t>
  </si>
  <si>
    <t>2417. Single rate non half hourly timeband use</t>
  </si>
  <si>
    <t>2418. Single rate non half hourly tariff pseudo load coefficient</t>
  </si>
  <si>
    <t>x1 = 2415. Single rate non half hourly pseudo timeband load coefficients</t>
  </si>
  <si>
    <t>x2 = 2417. Single rate non half hourly timeband use</t>
  </si>
  <si>
    <t>2419. Multi rate non half hourly units (MWh)</t>
  </si>
  <si>
    <t>2420. Multi rate non half hourly pseudo timeband load coefficients</t>
  </si>
  <si>
    <t>2422. Multi rate non half hourly tariff pseudo load coefficient</t>
  </si>
  <si>
    <t>x1 = 2420. Multi rate non half hourly pseudo timeband load coefficients</t>
  </si>
  <si>
    <t>2423. Off-peak non half hourly units (MWh)</t>
  </si>
  <si>
    <t>2425. Off-peak non half hourly timeband use</t>
  </si>
  <si>
    <t>2426. Off-peak non half hourly tariff pseudo load coefficient</t>
  </si>
  <si>
    <t>x2 = 2425. Off-peak non half hourly timeband use</t>
  </si>
  <si>
    <t>2427. Aggregated half hourly units (MWh)</t>
  </si>
  <si>
    <t>2428. Aggregated half hourly pseudo timeband load coefficients</t>
  </si>
  <si>
    <t>2429. Aggregated half hourly timeband use</t>
  </si>
  <si>
    <t>2430. Aggregated half hourly tariff pseudo load coefficient</t>
  </si>
  <si>
    <t>x1 = 2428. Aggregated half hourly pseudo timeband load coefficients</t>
  </si>
  <si>
    <t>x2 = 2429. Aggregated half hourly timeband use</t>
  </si>
  <si>
    <t>2431. Average non half hourly tariff pseudo load coefficient</t>
  </si>
  <si>
    <t>x1 = 2416. Single rate non half hourly units (MWh)</t>
  </si>
  <si>
    <t>x2 = 2418. Single rate non half hourly tariff pseudo load coefficient</t>
  </si>
  <si>
    <t>x3 = 2419. Multi rate non half hourly units (MWh)</t>
  </si>
  <si>
    <t>x4 = 2422. Multi rate non half hourly tariff pseudo load coefficient</t>
  </si>
  <si>
    <t>x5 = 2423. Off-peak non half hourly units (MWh)</t>
  </si>
  <si>
    <t>x6 = 2426. Off-peak non half hourly tariff pseudo load coefficient</t>
  </si>
  <si>
    <t>2432. Average non half hourly timeband use</t>
  </si>
  <si>
    <t>x6 = 2425. Off-peak non half hourly timeband use</t>
  </si>
  <si>
    <t>2433. Aggregated half hourly tariff pseudo load coefficient using average non half hourly unit mix</t>
  </si>
  <si>
    <t>x2 = 2432. Average non half hourly timeband use</t>
  </si>
  <si>
    <t>2434. Relative correction factor for aggregated half hourly tariff</t>
  </si>
  <si>
    <t>x1 = 2431. Average non half hourly tariff pseudo load coefficient</t>
  </si>
  <si>
    <t>x2 = 2433. Aggregated half hourly tariff pseudo load coefficient using average non half hourly unit mix</t>
  </si>
  <si>
    <t>2435. Correction factor for non half hourly tariffs</t>
  </si>
  <si>
    <t>x7 = 2427. Aggregated half hourly units (MWh)</t>
  </si>
  <si>
    <t>x8 = 2430. Aggregated half hourly tariff pseudo load coefficient</t>
  </si>
  <si>
    <t>x9 = 2434. Relative correction factor for aggregated half hourly tariff</t>
  </si>
  <si>
    <t>2436. Single rate non half hourly corrected pseudo timeband load coefficient</t>
  </si>
  <si>
    <t>x2 = 2435. Correction factor for non half hourly tariffs</t>
  </si>
  <si>
    <t>2437. Multi rate non half hourly corrected pseudo timeband load coefficient</t>
  </si>
  <si>
    <t>2438. Off-peak non half hourly corrected pseudo timeband load coefficient</t>
  </si>
  <si>
    <t>2439. Aggregated half hourly corrected pseudo timeband load coefficient</t>
  </si>
  <si>
    <t>x3 = 2434. Relative correction factor for aggregated half hourly tariff</t>
  </si>
  <si>
    <t>2440. Pseudo load coefficient by time band and network level (equalised)</t>
  </si>
  <si>
    <t>x1 = 2436. Single rate non half hourly corrected pseudo timeband load coefficient</t>
  </si>
  <si>
    <t>x2 = 2437. Multi rate non half hourly corrected pseudo timeband load coefficient</t>
  </si>
  <si>
    <t>x3 = 2438. Off-peak non half hourly corrected pseudo timeband load coefficient</t>
  </si>
  <si>
    <t>x4 = 2439. Aggregated half hourly corrected pseudo timeband load coefficient</t>
  </si>
  <si>
    <t>2441. Unit rate 1 pseudo load coefficient by network level</t>
  </si>
  <si>
    <t>x1 = 2440. Pseudo load coefficient by time band and network level (equalised)</t>
  </si>
  <si>
    <t>2442. Unit rate 2 pseudo load coefficient by network level</t>
  </si>
  <si>
    <t>2443. Unit rate 3 pseudo load coefficient by network level</t>
  </si>
  <si>
    <t>2444. Adjust annual hours by special distribution time band to match days in year</t>
  </si>
  <si>
    <t>2445. Normalisation of split of rate 1 units by special time band</t>
  </si>
  <si>
    <t>x3 = 2444. Annual hours by special distribution time band (reconciled to days in year) (in Adjust annual hours by special distribution time band to match days in year)</t>
  </si>
  <si>
    <t>2446. Split of rate 1 units between special distribution time bands</t>
  </si>
  <si>
    <t>x1 = 2445. Normalised split of rate 1 units by special distribution time band (in Normalisation of split of rate 1 units by special time band)</t>
  </si>
  <si>
    <t>2447. Split of rate 2 units between special distribution time bands (default)</t>
  </si>
  <si>
    <t>2448. Split of rate 3 units between special distribution time bands (default)</t>
  </si>
  <si>
    <t>2449. Calculation of implied special load coefficients for one-rate users</t>
  </si>
  <si>
    <t>x3 = 2446. Split of rate 1 units between special distribution time bands</t>
  </si>
  <si>
    <t>x4 = 2444. Annual hours by special distribution time band (reconciled to days in year) (in Adjust annual hours by special distribution time band to match days in year)</t>
  </si>
  <si>
    <t>2450. Calculation of implied special load coefficients for three-rate users</t>
  </si>
  <si>
    <t>x5 = 2447. Split of rate 2 units between special distribution time bands (default)</t>
  </si>
  <si>
    <t>x7 = 2448. Split of rate 3 units between special distribution time bands (default)</t>
  </si>
  <si>
    <t>x8 = 2444. Annual hours by special distribution time band (reconciled to days in year) (in Adjust annual hours by special distribution time band to match days in year)</t>
  </si>
  <si>
    <t>2451. Estimated contributions to peak demand</t>
  </si>
  <si>
    <t>x1 = 2449. Peak band special load coefficient for one-rate tariffs (in Calculation of implied special load coefficients for one-rate users)</t>
  </si>
  <si>
    <t>x2 = 2450. Peak band special load coefficient for three-rate tariffs (in Calculation of implied special load coefficients for three-rate users)</t>
  </si>
  <si>
    <t>2452. Load coefficient correction factor for the group</t>
  </si>
  <si>
    <t>x1 = 2451. Contribution to peak band kW (in Estimated contributions to peak demand)</t>
  </si>
  <si>
    <t>x2 = 2451. Contribution to system-peak-time kW (in Estimated contributions to peak demand)</t>
  </si>
  <si>
    <t>2453. Calculation of special peaking probabilities</t>
  </si>
  <si>
    <t>2454. Special peaking probabilities by network level</t>
  </si>
  <si>
    <t>x1 = 2453. Green peaking probabilities (in Calculation of special peaking probabilities)</t>
  </si>
  <si>
    <t>x2 = 2453. Yellow peaking probabilities (in Calculation of special peaking probabilities)</t>
  </si>
  <si>
    <t>x3 = 2453. Black peaking probabilities (in Calculation of special peaking probabilities)</t>
  </si>
  <si>
    <t>2455. Special peaking probabilities by network level (reshaped)</t>
  </si>
  <si>
    <t>x1 = 2454. Special peaking probabilities by network level</t>
  </si>
  <si>
    <t>2456. Pseudo load coefficient by special time band and network level</t>
  </si>
  <si>
    <t>x1 = 2444. Annual hours by special distribution time band (reconciled to days in year) (in Adjust annual hours by special distribution time band to match days in year)</t>
  </si>
  <si>
    <t>x2 = 2452. Load coefficient correction factor for the group</t>
  </si>
  <si>
    <t>x3 = 2455. Special peaking probabilities by network level (reshaped)</t>
  </si>
  <si>
    <t>Pseudo load coefficient by special time band and network level</t>
  </si>
  <si>
    <t>2457. Unit rate 1 pseudo load coefficient by network level (special)</t>
  </si>
  <si>
    <t>x1 = 2456. Pseudo load coefficient by special time band and network level</t>
  </si>
  <si>
    <t>x2 = 2446. Split of rate 1 units between special distribution time bands</t>
  </si>
  <si>
    <t>2458. Unit rate 2 pseudo load coefficient by network level (special)</t>
  </si>
  <si>
    <t>x2 = 2447. Split of rate 2 units between special distribution time bands (default)</t>
  </si>
  <si>
    <t>2459. Unit rate 3 pseudo load coefficient by network level (special)</t>
  </si>
  <si>
    <t>x2 = 2448. Split of rate 3 units between special distribution time bands (default)</t>
  </si>
  <si>
    <t>2460. Unit rate 1 pseudo load coefficient by network level (combined)</t>
  </si>
  <si>
    <t>x1 = 2441. Unit rate 1 pseudo load coefficient by network level</t>
  </si>
  <si>
    <t>x2 = 2457. Unit rate 1 pseudo load coefficient by network level (special)</t>
  </si>
  <si>
    <t>2461. Unit rate 2 pseudo load coefficient by network level (combined)</t>
  </si>
  <si>
    <t>x1 = 2442. Unit rate 2 pseudo load coefficient by network level</t>
  </si>
  <si>
    <t>x2 = 2458. Unit rate 2 pseudo load coefficient by network level (special)</t>
  </si>
  <si>
    <t>2462. Unit rate 3 pseudo load coefficient by network level (combined)</t>
  </si>
  <si>
    <t>x1 = 2443. Unit rate 3 pseudo load coefficient by network level</t>
  </si>
  <si>
    <t>x2 = 2459. Unit rate 3 pseudo load coefficient by network level (special)</t>
  </si>
  <si>
    <t>x2 = 2460. Unit rate 1 pseudo load coefficient by network level (combined)</t>
  </si>
  <si>
    <t>x4 = 2461. Unit rate 2 pseudo load coefficient by network level (combined)</t>
  </si>
  <si>
    <t>x6 = 2462. Unit rate 3 pseudo load coefficient by network level (combined)</t>
  </si>
  <si>
    <t>x3 = 2202. LV unmetered service model assets £/(MWh/year)</t>
  </si>
  <si>
    <t>x1 = 2460. Unit rate 1 pseudo load coefficient by network level (combined)</t>
  </si>
  <si>
    <t>x1 = 2461. Unit rate 2 pseudo load coefficient by network level (combined)</t>
  </si>
  <si>
    <t>x1 = 2462. Unit rate 3 pseudo load coefficient by network level (combined)</t>
  </si>
  <si>
    <t>3103. Aggregate capacity (kW)</t>
  </si>
  <si>
    <t>3104. Aggregate number of users charged for capacity on an exit point basis</t>
  </si>
  <si>
    <t>x1 = 3104. Aggregate number of users charged for capacity on an exit point basis</t>
  </si>
  <si>
    <t>x2 = 3103. Aggregate capacity (kW)</t>
  </si>
  <si>
    <t>3201. Network use factors for generator reactive unit charges</t>
  </si>
  <si>
    <t>3202. Standard components p/kWh for reactive power (absolute value)</t>
  </si>
  <si>
    <t>3203. Standard reactive p/kVArh</t>
  </si>
  <si>
    <t>x1 = 3202. Standard components p/kWh for reactive power (absolute value)</t>
  </si>
  <si>
    <t>x6 = 3201. Network use factors for generator reactive unit charges</t>
  </si>
  <si>
    <t>x5 = 2203. LV unmetered service model asset charge (p/kWh) — for Tariffs with Unit rate 1 p/kWh from PAYG 1 kWh &amp; customer</t>
  </si>
  <si>
    <t>x4 = 2203. LV unmetered service model asset charge (p/kWh) — for Tariffs with Unit rate 2 p/kWh from PAYG 2 kWh &amp; customer</t>
  </si>
  <si>
    <t>x4 = 2203. LV unmetered service model asset charge (p/kWh) — for Tariffs with Unit rate 3 p/kWh from PAYG 3 kWh &amp; customer</t>
  </si>
  <si>
    <t>x2 = 3203. Standard reactive p/kVArh</t>
  </si>
  <si>
    <t>=IF(ISERROR(x8),x9,0)</t>
  </si>
  <si>
    <t>=MAX(x1,x8)*x9</t>
  </si>
  <si>
    <t>=RANK(x8,x8,1)</t>
  </si>
  <si>
    <t>=RANK(x12,x12,1)</t>
  </si>
  <si>
    <t>=MATCH(x11,x13,0)</t>
  </si>
  <si>
    <t>=INDEX(x8,x14,1) or =x8</t>
  </si>
  <si>
    <t>Technical model rules and version control</t>
  </si>
  <si>
    <t>agghhequalisation: rag</t>
  </si>
  <si>
    <t>coincidenceAdj: groupums</t>
  </si>
  <si>
    <t>compact: 1</t>
  </si>
  <si>
    <t>summary: arp</t>
  </si>
  <si>
    <t xml:space="preserve">  CDCM/Aggregation.pm: 372b53e6dba1fe9433020bbd13328009851a036a</t>
  </si>
  <si>
    <t xml:space="preserve">  CDCM/NetworkSizer.pm: 50def4231b67757f2bd222cc1579fa342876afd0</t>
  </si>
  <si>
    <t xml:space="preserve">  CDCM/Reactive.pm: e2318e6ee9559bf7cd3cfcfff58c399eb12c866a</t>
  </si>
  <si>
    <t xml:space="preserve">  CDCM/Standing.pm: 0677863cc8c69940e82611a34f6a4cf6e6c938f6</t>
  </si>
  <si>
    <t xml:space="preserve">  CDCM/Yardsticks.pm: 14fa4ca8c5e1b83888203f2a0a27b027b0e1be67</t>
  </si>
  <si>
    <t xml:space="preserve">  SpreadsheetModel/Custom.pm: 64258a1a23160d1b05311a838e34f4078f7516be</t>
  </si>
  <si>
    <t xml:space="preserve">  SpreadsheetModel/GroupBy.pm: a05f4878f468a3191257c58c4711fc115bde7e7d</t>
  </si>
  <si>
    <t xml:space="preserve">  SpreadsheetModel/Reshape.pm: 44d60329c15bdfdf839a71781406c921808898b4</t>
  </si>
  <si>
    <t xml:space="preserve">  SpreadsheetModel/Stack.pm: 05a927d320fe0b49a01b5d253723cf04175915ac</t>
  </si>
  <si>
    <t>x6 = 3801. Revenues from capacity charges (£) (in Revenue summary)</t>
  </si>
  <si>
    <t>x5 = 3801. Revenues from fixed charges (£) (in Revenue summary)</t>
  </si>
  <si>
    <t>x4 = 3801. Revenues from unit rates (£) (in Revenue summary)</t>
  </si>
  <si>
    <t>x3 = 3801. Net revenues (£) (in Revenue summary)</t>
  </si>
  <si>
    <t>x2 = 3801. MPANs (in Revenue summary)</t>
  </si>
  <si>
    <t>x1 = 3801. All units (MWh) (in Revenue summary)</t>
  </si>
  <si>
    <t>3802. Revenue summary by tariff component</t>
  </si>
  <si>
    <t>3801. Revenue summary</t>
  </si>
  <si>
    <t>2018/19</t>
  </si>
  <si>
    <t>2019/20</t>
  </si>
  <si>
    <t>2020/21</t>
  </si>
  <si>
    <t>2021/22</t>
  </si>
  <si>
    <t>CDCM Annual Review Pack</t>
  </si>
  <si>
    <t>Base Demand Revenue Before Inflation (A1)</t>
  </si>
  <si>
    <t>PU</t>
  </si>
  <si>
    <t>CRC2A</t>
  </si>
  <si>
    <t>Annual Iteration adjustment before inflation (A2)</t>
  </si>
  <si>
    <t>MOD</t>
  </si>
  <si>
    <t>RPI True-up before inflation (A3)</t>
  </si>
  <si>
    <t>TRU</t>
  </si>
  <si>
    <t>Price index adjustment (RPI index) (A4)</t>
  </si>
  <si>
    <t>RPIF</t>
  </si>
  <si>
    <t>Base Demand Revenue (A): 
[A = (A1 + A2 + A3) * A4]</t>
  </si>
  <si>
    <t>BR</t>
  </si>
  <si>
    <t>A = (A1 + A2 + A3) * A4</t>
  </si>
  <si>
    <t>Pass-Through Licence Fees (B1)</t>
  </si>
  <si>
    <t>LF</t>
  </si>
  <si>
    <t>CRC2B</t>
  </si>
  <si>
    <t>Pass-Through Business Rates (B2)</t>
  </si>
  <si>
    <t>RB</t>
  </si>
  <si>
    <t>Pass-Through Transmission Connection Point Charges (B3)</t>
  </si>
  <si>
    <t>TB</t>
  </si>
  <si>
    <t>Pass-through Smart Meter Communication Licence Costs (B4)</t>
  </si>
  <si>
    <t>SMC</t>
  </si>
  <si>
    <t>Pass-through Smart Meter IT Costs (B5)</t>
  </si>
  <si>
    <t>SMIT</t>
  </si>
  <si>
    <t>Pass-through Ring Fence Costs</t>
  </si>
  <si>
    <t>RF</t>
  </si>
  <si>
    <t>HB, SEC, UNC</t>
  </si>
  <si>
    <t>Allowed Pass-Through Items (B): 
[B = B1 + B2 + B3 +B4 + B5 + B6 + B7]</t>
  </si>
  <si>
    <t>PT</t>
  </si>
  <si>
    <t>B = B1 + B2 + B3 +B4 + B5 + B6 + B7</t>
  </si>
  <si>
    <t>Broad Measure of Customer Service incentive (C1)</t>
  </si>
  <si>
    <t>BM</t>
  </si>
  <si>
    <t>CRC2C</t>
  </si>
  <si>
    <t>Quality of Service incentive (C2)</t>
  </si>
  <si>
    <t>IQ</t>
  </si>
  <si>
    <t>CRC2D</t>
  </si>
  <si>
    <t>Connections Engagement incentive (C3)</t>
  </si>
  <si>
    <t>ICE</t>
  </si>
  <si>
    <t>CRC2E</t>
  </si>
  <si>
    <t>Time to Connect incentive (C4)</t>
  </si>
  <si>
    <t>TTC</t>
  </si>
  <si>
    <t>CRC2F</t>
  </si>
  <si>
    <t>Losses Discretionary Reward incentive (C5)</t>
  </si>
  <si>
    <t>LDR</t>
  </si>
  <si>
    <t>CRC2G</t>
  </si>
  <si>
    <t>Network Innovation Allowance (C6)</t>
  </si>
  <si>
    <t>NIA</t>
  </si>
  <si>
    <t>CRC2H</t>
  </si>
  <si>
    <t>Low Carbon Network Fund - Tier 1 unrecoverable (C7)</t>
  </si>
  <si>
    <t>LCN1</t>
  </si>
  <si>
    <t>CRC2J</t>
  </si>
  <si>
    <t>Low Carbon Network Fund - Tier 2 &amp; Discretionary Funding (C7)</t>
  </si>
  <si>
    <t>LCN2</t>
  </si>
  <si>
    <t>Connection Guaranteed Standards Systems &amp; Processes penalty (C8)</t>
  </si>
  <si>
    <t>AUM, CGSRA</t>
  </si>
  <si>
    <t>CRC2K-L</t>
  </si>
  <si>
    <t>Residual Losses and Growth Incentive - Losses (C9)</t>
  </si>
  <si>
    <t>PPL</t>
  </si>
  <si>
    <t>CRC2M</t>
  </si>
  <si>
    <t>Residual Losses and Growth Incentive - Growth (C9)</t>
  </si>
  <si>
    <t>GTA</t>
  </si>
  <si>
    <t>Incentive Revenue and Other Adjustments (C): 
[C = C1 + C2 + C3 + C4 + C5 + C6 + C7 + C8 + C9]</t>
  </si>
  <si>
    <t>C = C1 + C2 + C3 + C4 + C5 + C6 + C7 + C8 + C9</t>
  </si>
  <si>
    <t>-K</t>
  </si>
  <si>
    <t>Total allowed Revenue (E): 
[E = A + B + C + D]</t>
  </si>
  <si>
    <t>AR</t>
  </si>
  <si>
    <t>E = A + B + C + D</t>
  </si>
  <si>
    <t>Other 1. Excluded services - Top-up, standby, and enhanced system security (F1) (see note 1)</t>
  </si>
  <si>
    <t>DRS4</t>
  </si>
  <si>
    <t>CRC5C</t>
  </si>
  <si>
    <t>Other 2. Excluded services - Revenue protection services (F2) (see note 1)</t>
  </si>
  <si>
    <t>DRS5</t>
  </si>
  <si>
    <t>Other 3. Excluded services - Miscellaneous (F3) (see note 1)</t>
  </si>
  <si>
    <t>DRS9</t>
  </si>
  <si>
    <t>Other 4. - blank or if required please provide description (F4)</t>
  </si>
  <si>
    <t>Other 5. - blank or if required please provide description (F5)</t>
  </si>
  <si>
    <t>Total Other Revenue to be recovered by Use of System Charges (F): [F = F1 + F2 + F3 + F4 +F5]</t>
  </si>
  <si>
    <t>F = F1 + F2 + F3 + F4 +F5</t>
  </si>
  <si>
    <t>Total Revenue for Use of System Charges (G): 
[G=E + F]</t>
  </si>
  <si>
    <t>G = E + F</t>
  </si>
  <si>
    <t>1. Revenue raised outside CDCM - EDCM and Certain Interconnector Revenue (H1)</t>
  </si>
  <si>
    <t>2. Revenue raised outside CDCM - Voluntary under-recovery (H2)</t>
  </si>
  <si>
    <t>3. Revenue raised outside CDCM - blank or if required please provide description (H3)</t>
  </si>
  <si>
    <t>4. Revenue raised outside CDCM - blank or if required please provide description (H4)</t>
  </si>
  <si>
    <t>Total Revenue to be raised outside the CDCM (H): [H = H1 + H2 + H3 + H4]</t>
  </si>
  <si>
    <t>H = H1 + H2 + H3 + H4</t>
  </si>
  <si>
    <t>Latest forecast of CDCM Revenue (I): [I =  G - H]</t>
  </si>
  <si>
    <t>I =  G - H</t>
  </si>
  <si>
    <t>CDCM Revenue Used in Charging Model [Equal to I]</t>
  </si>
  <si>
    <t>Equal to I</t>
  </si>
  <si>
    <t>Final Collected Revenue Forecast (J)</t>
  </si>
  <si>
    <t>Forecast Over / (Under) Recovery 
[being (J - F - E + H2]</t>
  </si>
  <si>
    <t>J - F - E + H2</t>
  </si>
  <si>
    <t>Forecast overall percentage change to Allowed Revenue (K)</t>
  </si>
  <si>
    <t>Overall % change to Use of System Charges effective 1st April of Regulatory Year to balance (L)</t>
  </si>
  <si>
    <t>Note 1: Cost categories associated with excluded services should only be populated if the Company recovers the costs of providing these services from Use of System Charges</t>
  </si>
  <si>
    <t>x6 = 3607. Exceeded capacity charge p/kVA/day (in Tariffs)</t>
  </si>
  <si>
    <t>x7 = 3607. Reactive power charge p/kVArh (in Tariffs)</t>
  </si>
  <si>
    <t>= x7</t>
  </si>
  <si>
    <t>Exceeded capacity charge p/kVA/day</t>
  </si>
  <si>
    <t>LV Generation Intermittent no RP charge</t>
  </si>
  <si>
    <t>LV Generation Non-Intermittent no RP charge</t>
  </si>
  <si>
    <t>LV Sub Generation Intermittent no RP charge</t>
  </si>
  <si>
    <t>LV Sub Generation Non-Intermittent no RP charge</t>
  </si>
  <si>
    <t>HV Generation Intermittent no RP charge</t>
  </si>
  <si>
    <t>HV Generation Non-Intermittent no RP charge</t>
  </si>
  <si>
    <t>x9 = 3607. Exceeded capacity charge p/kVA/day (in Tariffs)</t>
  </si>
  <si>
    <t>x10 = 1053. Exceeded capacity (kVA) by tariff (in Volume forecasts for the charging year)</t>
  </si>
  <si>
    <t>x11 = 3607. Unit rate 1 p/kWh (in Tariffs)</t>
  </si>
  <si>
    <t>x12 = 3607. Unit rate 2 p/kWh (in Tariffs)</t>
  </si>
  <si>
    <t>x13 = 3607. Unit rate 3 p/kWh (in Tariffs)</t>
  </si>
  <si>
    <t>x14 = 3607. Reactive power charge p/kVArh (in Tariffs)</t>
  </si>
  <si>
    <t>x15 = 1053. Reactive power units (MVArh) by tariff (in Volume forecasts for the charging year)</t>
  </si>
  <si>
    <t>x16 = All units (MWh) (in Revenue summary)</t>
  </si>
  <si>
    <t>x17 = Net revenues (£) (in Revenue summary)</t>
  </si>
  <si>
    <t>x18 = MPANs (in Revenue summary)</t>
  </si>
  <si>
    <t>x19 = Revenues from unit rates (£) (in Revenue summary)</t>
  </si>
  <si>
    <t>x20 = Net revenues from unit rate 1 (£) (in Revenue summary)</t>
  </si>
  <si>
    <t>x21 = Net revenues from unit rate 2 (£) (in Revenue summary)</t>
  </si>
  <si>
    <t>x22 = Net revenues from unit rate 3 (£) (in Revenue summary)</t>
  </si>
  <si>
    <t>x23 = Revenues from fixed charges (£) (in Revenue summary)</t>
  </si>
  <si>
    <t>x24 = Revenues from capacity charges (£) (in Revenue summary)</t>
  </si>
  <si>
    <t>x25 = Revenues from exceeded capacity charges (£) (in Revenue summary)</t>
  </si>
  <si>
    <t>x26 = Revenues from reactive power charges (£) (in Revenue summary)</t>
  </si>
  <si>
    <t>=0.01*x5*(x6*x4+x7*x8+x9*x10)+10*(x11*x1+x12*x2+x13*x3+x14*x15)</t>
  </si>
  <si>
    <t>=10*(x11*x1+x12*x2+x13*x3)</t>
  </si>
  <si>
    <t>=x9*x5*x10/100</t>
  </si>
  <si>
    <t>=x14*x15*10</t>
  </si>
  <si>
    <t>=IF(x16&lt;&gt;0,0.1*x17/x16,"")</t>
  </si>
  <si>
    <t>=IF(x18&lt;&gt;0,x17/x18,"")</t>
  </si>
  <si>
    <t>=IF(x16&lt;&gt;0,0.1*x19/x16,0)</t>
  </si>
  <si>
    <t>=x11*x1*10</t>
  </si>
  <si>
    <t>=x12*x2*10</t>
  </si>
  <si>
    <t>=x13*x3*10</t>
  </si>
  <si>
    <t>=IF(x19&lt;&gt;0,x20/x19,"")</t>
  </si>
  <si>
    <t>=IF(x19&lt;&gt;0,x21/x19,"")</t>
  </si>
  <si>
    <t>=IF(x19&lt;&gt;0,x22/x19,"")</t>
  </si>
  <si>
    <t>=IF(x17&lt;&gt;0,x23/x17,"")</t>
  </si>
  <si>
    <t>=IF(x17&lt;&gt;0,x24/x17,"")</t>
  </si>
  <si>
    <t>=IF(x17&lt;&gt;0,x25/x17,"")</t>
  </si>
  <si>
    <t>=IF(x17&lt;&gt;0,x26/x17,"")</t>
  </si>
  <si>
    <t>Revenues from exceeded capacity charges (£)</t>
  </si>
  <si>
    <t>Exceeded capacity charge proportion</t>
  </si>
  <si>
    <t>&gt; LV Generation Intermittent no RP charge</t>
  </si>
  <si>
    <t>&gt; LV Generation Non-Intermittent no RP charge</t>
  </si>
  <si>
    <t>&gt; LV Sub Generation Intermittent no RP charge</t>
  </si>
  <si>
    <t>&gt; LV Sub Generation Non-Intermittent no RP charge</t>
  </si>
  <si>
    <t>&gt; HV Generation Intermittent no RP charge</t>
  </si>
  <si>
    <t>&gt; HV Generation Non-Intermittent no RP charge</t>
  </si>
  <si>
    <t>x7 = 3801. Revenues from exceeded capacity charges (£) (in Revenue summary)</t>
  </si>
  <si>
    <t>x8 = 3801. Revenues from reactive power charges (£) (in Revenue summary)</t>
  </si>
  <si>
    <t>=SUM(x8)</t>
  </si>
  <si>
    <t>Total revenues from exceeded capacity charges (£)</t>
  </si>
  <si>
    <t>Exceeded capacity (kVA)</t>
  </si>
  <si>
    <t>x11 = 1053. Exceeded capacity (kVA) by tariff (in Volume forecasts for the charging year)</t>
  </si>
  <si>
    <t>x12 = 1053. Reactive power units (MVArh) by tariff (in Volume forecasts for the charging year)</t>
  </si>
  <si>
    <t>=x12*(1-x4)</t>
  </si>
  <si>
    <t>x6 = 2304. Exceeded capacity (kVA) (in LDNO discounts and volumes adjusted for discount)</t>
  </si>
  <si>
    <t>x7 = 2304. Reactive power units (MVArh) (in LDNO discounts and volumes adjusted for discount)</t>
  </si>
  <si>
    <t>x2 = 2305. Exceeded capacity (kVA) (in Equivalent volume for each end user)</t>
  </si>
  <si>
    <t>x4 = 2602. Standing charges factors adapted to use 132kV/HV</t>
  </si>
  <si>
    <t>Calculation =(x1+x2)*x3*x4*x5</t>
  </si>
  <si>
    <t>2803. Proportion of asset annuities deemed to be covered by customer contributions</t>
  </si>
  <si>
    <t>x3 = 2803. Proportion of asset annuities deemed to be covered by customer contributions</t>
  </si>
  <si>
    <t>3007. Exceeded capacity charge elements p/kVA/day</t>
  </si>
  <si>
    <t>Calculation =100*x1*x2*x3*x4/x5</t>
  </si>
  <si>
    <t>3306. Exceeded capacity charge p/kVA/day (elements)</t>
  </si>
  <si>
    <t>x1 = 3007. Exceeded capacity charge p/kVA/day — for Tariffs with Exceeded capacity charge p/kVA/day from Capacity</t>
  </si>
  <si>
    <t>3307. Reactive power charge p/kVArh (elements)</t>
  </si>
  <si>
    <t>3308. Summary of charges before revenue matching</t>
  </si>
  <si>
    <t>x6 = 3306. Exceeded capacity charge p/kVA/day (elements)</t>
  </si>
  <si>
    <t>x7 = 3307. Reactive power charge p/kVArh (elements)</t>
  </si>
  <si>
    <t>Exceeded capacity charge p/kVA/day (total)</t>
  </si>
  <si>
    <t>x2 = 3308. Fixed charge p/MPAN/day (total) (in Summary of charges before revenue matching)</t>
  </si>
  <si>
    <t>x4 = 3308. Capacity charge p/kVA/day (total) (in Summary of charges before revenue matching)</t>
  </si>
  <si>
    <t>x6 = 3308. Exceeded capacity charge p/kVA/day (total) (in Summary of charges before revenue matching)</t>
  </si>
  <si>
    <t>x7 = 2305. Exceeded capacity (kVA) (in Equivalent volume for each end user)</t>
  </si>
  <si>
    <t>x8 = 3308. Unit rate 1 p/kWh (total) (in Summary of charges before revenue matching)</t>
  </si>
  <si>
    <t>x9 = 2305. Rate 1 units (MWh) (in Equivalent volume for each end user)</t>
  </si>
  <si>
    <t>x10 = 3308. Unit rate 2 p/kWh (total) (in Summary of charges before revenue matching)</t>
  </si>
  <si>
    <t>x11 = 2305. Rate 2 units (MWh) (in Equivalent volume for each end user)</t>
  </si>
  <si>
    <t>x12 = 3308. Unit rate 3 p/kWh (total) (in Summary of charges before revenue matching)</t>
  </si>
  <si>
    <t>x13 = 2305. Rate 3 units (MWh) (in Equivalent volume for each end user)</t>
  </si>
  <si>
    <t>x14 = 3308. Reactive power charge p/kVArh (in Summary of charges before revenue matching)</t>
  </si>
  <si>
    <t>x15 = 2305. Reactive power units (MVArh) (in Equivalent volume for each end user)</t>
  </si>
  <si>
    <t>Calculation =0.01*x1*(x2*x3+x4*x5+x6*x7)+10*(x8*x9+x10*x11+x12*x13+x14*x15)</t>
  </si>
  <si>
    <t>3501. Adder value at which the minimum is breached</t>
  </si>
  <si>
    <t>x1 = 3308. Unit rate 1 p/kWh (total) (in Summary of charges before revenue matching)</t>
  </si>
  <si>
    <t>x2 = 3308. Unit rate 2 p/kWh (total) (in Summary of charges before revenue matching)</t>
  </si>
  <si>
    <t>x3 = 3308. Unit rate 3 p/kWh (total) (in Summary of charges before revenue matching)</t>
  </si>
  <si>
    <t>=0-x1</t>
  </si>
  <si>
    <t>=0-x2</t>
  </si>
  <si>
    <t>=0-x3</t>
  </si>
  <si>
    <t>Adder threshold for Unit rate 1 p/kWh</t>
  </si>
  <si>
    <t>Adder threshold for Unit rate 2 p/kWh</t>
  </si>
  <si>
    <t>Adder threshold for Unit rate 3 p/kWh</t>
  </si>
  <si>
    <t>3502. Marginal revenue effect of adder</t>
  </si>
  <si>
    <t>x4 = 2305. Rate 3 units (MWh) (in Equivalent volume for each end user)</t>
  </si>
  <si>
    <t>=IF(x1&lt;0,0,x2*10)</t>
  </si>
  <si>
    <t>=IF(x1&lt;0,0,x3*10)</t>
  </si>
  <si>
    <t>=IF(x1&lt;0,0,x4*10)</t>
  </si>
  <si>
    <t>3503. Constraint-free solution</t>
  </si>
  <si>
    <t>x2 = 3502. Effect through Unit rate 1 p/kWh (in Marginal revenue effect of adder)</t>
  </si>
  <si>
    <t>x3 = 3502. Effect through Unit rate 2 p/kWh (in Marginal revenue effect of adder)</t>
  </si>
  <si>
    <t>x4 = 3502. Effect through Unit rate 3 p/kWh (in Marginal revenue effect of adder)</t>
  </si>
  <si>
    <t>Calculation =x1/SUM(x2,x3,x4)</t>
  </si>
  <si>
    <t>3504. Starting point</t>
  </si>
  <si>
    <t>x1 = 3503. Constraint-free solution</t>
  </si>
  <si>
    <t>x2 = 3501. Adder threshold for Unit rate 1 p/kWh (in Adder value at which the minimum is breached)</t>
  </si>
  <si>
    <t>x3 = 3501. Adder threshold for Unit rate 2 p/kWh (in Adder value at which the minimum is breached)</t>
  </si>
  <si>
    <t>x4 = 3501. Adder threshold for Unit rate 3 p/kWh (in Adder value at which the minimum is breached)</t>
  </si>
  <si>
    <t>Calculation =MIN(x1,x2,x3,x4)</t>
  </si>
  <si>
    <t>3505. Solve for General adder rate (p/kWh)</t>
  </si>
  <si>
    <t>x1 = 3504. Starting point</t>
  </si>
  <si>
    <t>x5 = 3502. Effect through Unit rate 1 p/kWh (in Marginal revenue effect of adder)</t>
  </si>
  <si>
    <t>x6 = 3502. Effect through Unit rate 2 p/kWh (in Marginal revenue effect of adder)</t>
  </si>
  <si>
    <t>x7 = 3502. Effect through Unit rate 3 p/kWh (in Marginal revenue effect of adder)</t>
  </si>
  <si>
    <t>x8 = Location (in Solve for General adder rate (p/kWh))</t>
  </si>
  <si>
    <t>x9 = Kink (in Solve for General adder rate (p/kWh))</t>
  </si>
  <si>
    <t>x10 = Ranking before tie break (in Solve for General adder rate (p/kWh))</t>
  </si>
  <si>
    <t>x11 = Counter (in Solve for General adder rate (p/kWh))</t>
  </si>
  <si>
    <t>x12 = Tie breaker (in Solve for General adder rate (p/kWh))</t>
  </si>
  <si>
    <t>x13 = Ranking (in Solve for General adder rate (p/kWh))</t>
  </si>
  <si>
    <t>x14 = Kink reordering (in Solve for General adder rate (p/kWh))</t>
  </si>
  <si>
    <t>x15 = Starting slope contributions (in Solve for General adder rate (p/kWh))</t>
  </si>
  <si>
    <t>x16 = New slope (in Solve for General adder rate (p/kWh))</t>
  </si>
  <si>
    <t>x17 = Location (ordered) (in Solve for General adder rate (p/kWh))</t>
  </si>
  <si>
    <t>x18 = Starting values (in Solve for General adder rate (p/kWh))</t>
  </si>
  <si>
    <t>x20 = 3503. Constraint-free solution</t>
  </si>
  <si>
    <t>x21 = Value (in Solve for General adder rate (p/kWh))</t>
  </si>
  <si>
    <t>= x1 or x2 or x3 or x4</t>
  </si>
  <si>
    <t>=x10*99+x11</t>
  </si>
  <si>
    <t>3506. General adder rate (p/kWh)</t>
  </si>
  <si>
    <t>x1 = 3505. Root (in Solve for General adder rate (p/kWh))</t>
  </si>
  <si>
    <t>General adder rate (p/kWh)</t>
  </si>
  <si>
    <t>3507. Adder</t>
  </si>
  <si>
    <t>x2 = 3506. General adder rate (p/kWh)</t>
  </si>
  <si>
    <t>x3 = 3501. Adder threshold for Unit rate 1 p/kWh (in Adder value at which the minimum is breached)</t>
  </si>
  <si>
    <t>x4 = 3501. Adder threshold for Unit rate 2 p/kWh (in Adder value at which the minimum is breached)</t>
  </si>
  <si>
    <t>x5 = 3501. Adder threshold for Unit rate 3 p/kWh (in Adder value at which the minimum is breached)</t>
  </si>
  <si>
    <t>x6 = Adder on Unit rate 1 p/kWh (in Adder)</t>
  </si>
  <si>
    <t>x8 = Adder on Unit rate 2 p/kWh (in Adder)</t>
  </si>
  <si>
    <t>x10 = Adder on Unit rate 3 p/kWh (in Adder)</t>
  </si>
  <si>
    <t>=IF(x1&lt;0,0,MAX(x2,x3))</t>
  </si>
  <si>
    <t>=IF(x1&lt;0,0,MAX(x2,x4))</t>
  </si>
  <si>
    <t>=IF(x1&lt;0,0,MAX(x2,x5))</t>
  </si>
  <si>
    <t>=0+10*(x6*x7+x8*x9+x10*x11)</t>
  </si>
  <si>
    <t>Adder on Unit rate 1 p/kWh</t>
  </si>
  <si>
    <t>Adder on Unit rate 2 p/kWh</t>
  </si>
  <si>
    <t>Adder on Unit rate 3 p/kWh</t>
  </si>
  <si>
    <t>Net revenues by tariff from adder</t>
  </si>
  <si>
    <t>x2 = 3507. Adder on Unit rate 1 p/kWh (in Adder)</t>
  </si>
  <si>
    <t>x3 = 3308. Unit rate 2 p/kWh (total) (in Summary of charges before revenue matching)</t>
  </si>
  <si>
    <t>x4 = 3507. Adder on Unit rate 2 p/kWh (in Adder)</t>
  </si>
  <si>
    <t>x5 = 3308. Unit rate 3 p/kWh (total) (in Summary of charges before revenue matching)</t>
  </si>
  <si>
    <t>x6 = 3507. Adder on Unit rate 3 p/kWh (in Adder)</t>
  </si>
  <si>
    <t>x7 = 3308. Fixed charge p/MPAN/day (total) (in Summary of charges before revenue matching)</t>
  </si>
  <si>
    <t>x8 = 3308. Capacity charge p/kVA/day (total) (in Summary of charges before revenue matching)</t>
  </si>
  <si>
    <t>x9 = 3308. Exceeded capacity charge p/kVA/day (total) (in Summary of charges before revenue matching)</t>
  </si>
  <si>
    <t>x10 = 3308. Reactive power charge p/kVArh (in Summary of charges before revenue matching)</t>
  </si>
  <si>
    <t>=x7</t>
  </si>
  <si>
    <t>=x8</t>
  </si>
  <si>
    <t>=x9</t>
  </si>
  <si>
    <t>=x10</t>
  </si>
  <si>
    <t>x11 = 3601. Exceeded capacity charge p/kVA/day before rounding (in Tariffs before rounding)</t>
  </si>
  <si>
    <t>x12 = 3602. Exceeded capacity charge p/kVA/day decimal places (in Decimal places)</t>
  </si>
  <si>
    <t>x13 = 3601. Reactive power charge p/kVArh before rounding (in Tariffs before rounding)</t>
  </si>
  <si>
    <t>x14 = 3602. Reactive power charge p/kVArh decimal places (in Decimal places)</t>
  </si>
  <si>
    <t>=ROUND(x13,x14)-x13</t>
  </si>
  <si>
    <t>x12 = 3603. Exceeded capacity charge p/kVA/day rounding (in Tariff rounding)</t>
  </si>
  <si>
    <t>x14 = 3603. Reactive power charge p/kVArh rounding (in Tariff rounding)</t>
  </si>
  <si>
    <t>=x13+x14</t>
  </si>
  <si>
    <t>x6 = 3603. Exceeded capacity charge p/kVA/day rounding (in Tariff rounding)</t>
  </si>
  <si>
    <t>x8 = 3603. Unit rate 1 p/kWh rounding (in Tariff rounding)</t>
  </si>
  <si>
    <t>x10 = 3603. Unit rate 2 p/kWh rounding (in Tariff rounding)</t>
  </si>
  <si>
    <t>x12 = 3603. Unit rate 3 p/kWh rounding (in Tariff rounding)</t>
  </si>
  <si>
    <t>x2 = 3507. Net revenues by tariff from adder (in Adder)</t>
  </si>
  <si>
    <t>x5 = Total net revenues from adder (£) (in Revenue forecast summary)</t>
  </si>
  <si>
    <t>Total net revenues from adder (£)</t>
  </si>
  <si>
    <t>x8 = 3604. Exceeded capacity charge p/kVA/day (in All the way tariffs)</t>
  </si>
  <si>
    <t>x9 = 3604. Reactive power charge p/kVArh (in All the way tariffs)</t>
  </si>
  <si>
    <t>=ROUND(x8*(1-x2),2)</t>
  </si>
  <si>
    <t>=ROUND(x9*(1-x2),3)</t>
  </si>
  <si>
    <t>matrices: ''</t>
  </si>
  <si>
    <t>protect: 1</t>
  </si>
  <si>
    <t>scaler: adderppugeneralminzeronogen</t>
  </si>
  <si>
    <t>tariffs: commongensubdcp130dcp163pc12hhpc34hhgennoreact</t>
  </si>
  <si>
    <t>unauth: dayotex</t>
  </si>
  <si>
    <t xml:space="preserve">  CDCM/AML.pm: 456e00943a159e7b87cf01c5c4710e6a140ca47c</t>
  </si>
  <si>
    <t xml:space="preserve">  CDCM/Contributions.pm: 27ad354dcefbc9a811f3db79dc8efe0f1833e5f3</t>
  </si>
  <si>
    <t xml:space="preserve">  CDCM/Discounts.pm: a7364da2114ba741a77c0d6cb86d8234e52f9f27</t>
  </si>
  <si>
    <t xml:space="preserve">  CDCM/Loads.pm: 8318fd13017faf9e8cc117bc2b5f75e978e6365b</t>
  </si>
  <si>
    <t xml:space="preserve">  CDCM/Master.pm: b888dfe95c5c84cdb82428a1727d2a974bc5a157</t>
  </si>
  <si>
    <t xml:space="preserve">  CDCM/Matching.pm: 01f6510e0d600acd5eaf457dc0ce7510a9e57a57</t>
  </si>
  <si>
    <t xml:space="preserve">  CDCM/Operating.pm: c8ee43d2a1898e7c0e12aa50754522a86c4077c3</t>
  </si>
  <si>
    <t xml:space="preserve">  CDCM/Revenue.pm: 6c445ed34c255f9ddc0b221c97478f1622f96850</t>
  </si>
  <si>
    <t xml:space="preserve">  CDCM/Routeing.pm: 9b718b597245d1b0721d2c7a64c50c2a706295b5</t>
  </si>
  <si>
    <t xml:space="preserve">  CDCM/SML.pm: aac911646d7138ef11303d19e73c7fb180fadeeb</t>
  </si>
  <si>
    <t xml:space="preserve">  CDCM/ServiceModels.pm: 962bc7cb35ba1dba1d76a82ebf31da562bb15636</t>
  </si>
  <si>
    <t xml:space="preserve">  CDCM/Setup.pm: fa9ab9e9febf3f6681cdfa8c05e2700627cf0251</t>
  </si>
  <si>
    <t xml:space="preserve">  CDCM/Summary.pm: 591dbcc9c325ebe7d3bb65b6fdd6fdc8c2b0d03b</t>
  </si>
  <si>
    <t xml:space="preserve">  CDCM/TariffList.pm: 64ad6df9569e545ee8cb15b755bb503f11a8d027</t>
  </si>
  <si>
    <t xml:space="preserve">  CDCM/Tariffs.pm: 76356ecc3a24bb7e0d1b998ff54ed84d4c66815d</t>
  </si>
  <si>
    <t xml:space="preserve">  SpreadsheetModel/Arithmetic.pm: b1367f0a9de6b5af11373f288c79c34dcf1cd6d7</t>
  </si>
  <si>
    <t xml:space="preserve">  SpreadsheetModel/Book/FrontSheet.pm: 46ce018576f7ecdfeeb07df5d5468405cb06839c</t>
  </si>
  <si>
    <t xml:space="preserve">  SpreadsheetModel/Book/Validation.pm: ed2ab0782db26c535a153fdc187c4ac85d37bf0b</t>
  </si>
  <si>
    <t xml:space="preserve">  SpreadsheetModel/Book/WorkbookFormats.pm: b659dd128e9de6350e6f389cbe5ac3c7e01ff09d</t>
  </si>
  <si>
    <t xml:space="preserve">  SpreadsheetModel/Columnset.pm: 672a86ec91518b1756e619af3caf5fd13a83fe72</t>
  </si>
  <si>
    <t xml:space="preserve">  SpreadsheetModel/Dataset.pm: 0d4dd59d0e133cd7ac0d1f5f60d67b42da63633e</t>
  </si>
  <si>
    <t xml:space="preserve">  SpreadsheetModel/FormatLegend.pm: 6542b2c1f994e4aa10f155c435cabafa7a9f5778</t>
  </si>
  <si>
    <t xml:space="preserve">  SpreadsheetModel/Labelset.pm: 9869da1561c537b93ee2cbbfe04c5047c6144169</t>
  </si>
  <si>
    <t xml:space="preserve">  SpreadsheetModel/Logger.pm: 833fe1cc3c01cd760064f51dd812b9db75a8b221</t>
  </si>
  <si>
    <t xml:space="preserve">  SpreadsheetModel/Notes.pm: deac2cc524c26b5965f89ee6ab62979a9443d683</t>
  </si>
  <si>
    <t xml:space="preserve">  SpreadsheetModel/Object.pm: ad87af5906c5d614f2ee9535b691ad91f03c7c38</t>
  </si>
  <si>
    <t xml:space="preserve">  SpreadsheetModel/SegmentRoot.pm: b9c3f399e76a3369cc6271bc475efeffbc75e604</t>
  </si>
  <si>
    <t xml:space="preserve">  SpreadsheetModel/Shortcuts.pm: 862755d9f7270e4db643182f2a94f4d19dff749b</t>
  </si>
  <si>
    <t xml:space="preserve">  SpreadsheetModel/SumProduct.pm: c5a66046bc650db92cb5b588c8b0b207eb91f4d4</t>
  </si>
  <si>
    <t>This document, model or dataset has been prepared by or for Reckon LLP on the instructions of the DCUSA Panel or</t>
  </si>
  <si>
    <t>2022/23</t>
  </si>
  <si>
    <t>Total exceeded capacity</t>
  </si>
  <si>
    <t>EXCEEDED CAPACITY</t>
  </si>
  <si>
    <t>x2 = 1069. Black peaking probabilities (in Peaking probabilities by network level)</t>
  </si>
  <si>
    <t>x3 = Amber peaking probabilities (in Calculation of special peaking probabilities)</t>
  </si>
  <si>
    <t>x4 = Red peaking probabilities (in Calculation of special peaking probabilities)</t>
  </si>
  <si>
    <t>x5 = 2412. Total probability (should be 100%) (in Normalisation of peaking probabilities)</t>
  </si>
  <si>
    <t>x6 = Yellow peaking probabilities (in Calculation of special peaking probabilities)</t>
  </si>
  <si>
    <t>x7 = Green peaking probabilities (in Calculation of special peaking probabilities)</t>
  </si>
  <si>
    <t>=IF(x2,MAX(0,x3+x4-x2),IF(x5,1/0,0))</t>
  </si>
  <si>
    <t>=1-x6-x7</t>
  </si>
  <si>
    <t>3402. Revenue surplus or shortfall</t>
  </si>
  <si>
    <t>x2 = 1076. Target CDCM net revenue (£/year)</t>
  </si>
  <si>
    <t>x1 = 3402. Revenue shortfall (surplus) £ (in Revenue surplus or shortfall)</t>
  </si>
  <si>
    <t>x19 = 3402. Revenue shortfall (surplus) £ (in Revenue surplus or shortfall)</t>
  </si>
  <si>
    <t>x1 = 3402. Total net revenues before matching (£) (in Revenue surplus or shortfall)</t>
  </si>
  <si>
    <t>x8 = 1076. Target CDCM net revenue (£/year)</t>
  </si>
  <si>
    <t>blackPeakingProbabilityRequired: 1</t>
  </si>
  <si>
    <t>revisionText: r7415</t>
  </si>
  <si>
    <t>targetRevenue: single</t>
  </si>
  <si>
    <t>template: '%-model228+'</t>
  </si>
  <si>
    <t xml:space="preserve">  CDCM/Sheets.pm: 9fd822bebed6e0c93722fe67a01c586d855391af</t>
  </si>
  <si>
    <t xml:space="preserve">  CDCM/TimeOfDay179.pm: bcfbb0b849f3d51df08034f15d98c106a1026464</t>
  </si>
  <si>
    <t xml:space="preserve">  SpreadsheetModel/Book/Manufacturing.pm: c9328f8ce467db0f50b8d1d3b6064a439a158536</t>
  </si>
  <si>
    <t xml:space="preserve">  SpreadsheetModel/Book/WorkbookCreate.pm: a02f9620ecfc3c847594ec6a7f5d50a9a30b2168</t>
  </si>
  <si>
    <t>Generated on Sun 20 Nov 2016 12:50:10 by www.dcmf.co.uk</t>
  </si>
  <si>
    <t>Year Y - 5</t>
  </si>
  <si>
    <t>Y - 5</t>
  </si>
  <si>
    <t>Charges for year Y are set in Y-2 using historical data for the previous three years</t>
  </si>
  <si>
    <t>Year charges are set (year Y - 2)</t>
  </si>
  <si>
    <t>10, 20</t>
  </si>
  <si>
    <t>30, 40</t>
  </si>
  <si>
    <t>tbc</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</si>
</sst>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8" formatCode="&quot;£&quot;#,##0.00;[Red]\-&quot;£&quot;#,##0.00"/>
    <numFmt numFmtId="43" formatCode="_-* #,##0.00_-;\-* #,##0.00_-;_-* &quot;-&quot;??_-;_-@_-"/>
    <numFmt numFmtId="164" formatCode="\ _(???,???,??0.000_);[Red]\ \(???,???,??0.000\);;@"/>
    <numFmt numFmtId="165" formatCode="0.000;\-0.000;;@"/>
    <numFmt numFmtId="166" formatCode="\ _(???,???,??0_);[Red]\ \(???,???,??0\);;@"/>
    <numFmt numFmtId="167" formatCode="\ _(??0.0%_);[Red]\ \(??0.0%\);;@"/>
    <numFmt numFmtId="168" formatCode="\ _(???,???,??0.0_);[Red]\ \(???,???,??0.0\);;@"/>
    <numFmt numFmtId="169" formatCode="\ _(???,???,??0.00_);[Red]\ \(???,???,??0.00\);;@"/>
    <numFmt numFmtId="170" formatCode="[$-F800]dddd\,\ mmmm\ dd\,\ yyyy"/>
    <numFmt numFmtId="171" formatCode="0.0%"/>
    <numFmt numFmtId="172" formatCode="#,##0.0;[Red]\(#,##0.0\)"/>
    <numFmt numFmtId="173" formatCode="#,##0.0_ ;[Red]\-#,##0.0\ "/>
    <numFmt numFmtId="174" formatCode="0.0"/>
    <numFmt numFmtId="175" formatCode="#,##0.000;[Red]\(#,##0.000\)"/>
    <numFmt numFmtId="176" formatCode="#,##0.000_ ;[Red]\-#,##0.000\ "/>
    <numFmt numFmtId="177" formatCode="#,##0.00_ ;[Red]\-#,##0.00\ "/>
    <numFmt numFmtId="178" formatCode="_-* #,##0.000_-;\-* #,##0.000_-;_-* &quot;-&quot;??_-;_-@_-"/>
    <numFmt numFmtId="179" formatCode="_-* #,##0_-;\-* #,##0_-;_-* &quot;-&quot;??_-;_-@_-"/>
    <numFmt numFmtId="180" formatCode="_(??0.0%_);[Red]\(??0.0%\);_(???.?_%_)"/>
    <numFmt numFmtId="181" formatCode="0.000;\-0.000;"/>
    <numFmt numFmtId="182" formatCode="_(??0.0%_);[Red]\(??0.0%\);"/>
    <numFmt numFmtId="183" formatCode="#,##0_ ;[Red]\-#,##0\ "/>
    <numFmt numFmtId="184" formatCode="_(?,???,???,??0_);[Red]\(?,???,???,??0\);_(?,???,???,???_)"/>
    <numFmt numFmtId="185" formatCode="_(?,???,??0.000_);[Red]\(?,???,??0.000\);_(?,???,???.???_)"/>
    <numFmt numFmtId="186" formatCode="_(?,???,??0_);[Red]\(?,???,??0\);_(?,???,???_)"/>
    <numFmt numFmtId="187" formatCode="[Black]\ _(???,???,??0_);[Red]\ \(???,???,??0\);;[Cyan]@"/>
    <numFmt numFmtId="188" formatCode="[Black]\ _(???,??0.000_);[Red]\ \(???,??0.000\);;[Cyan]@"/>
    <numFmt numFmtId="189" formatCode="[Black]\ _(???,??0.00000_);[Red]\ \(???,??0.00000\);;[Cyan]@"/>
    <numFmt numFmtId="190" formatCode="[Black]\ _(???,??0.00_);[Red]\ \(???,??0.00\);;[Cyan]@"/>
    <numFmt numFmtId="191" formatCode="[Blue]General;[Red]\-General;;[Black]@"/>
    <numFmt numFmtId="192" formatCode="[Black]General;[Black]\-General;;[Black]@"/>
    <numFmt numFmtId="193" formatCode="[Black]\ _(?,??0.00%_);[Red]\ \(?,??0.00%\);;[Cyan]@"/>
    <numFmt numFmtId="194" formatCode="[Black]\ _(???,??0.0_);[Red]\ \(???,??0.0\);;[Cyan]@"/>
  </numFmts>
  <fonts count="52">
    <font>
      <sz val="11"/>
      <color theme="1"/>
      <name val="Calibri"/>
      <family val="2"/>
      <scheme val="minor"/>
    </font>
    <font>
      <b/>
      <sz val="15"/>
      <color theme="1"/>
      <name val="Calibri"/>
      <family val="2"/>
      <scheme val="minor"/>
    </font>
    <font>
      <b/>
      <sz val="11"/>
      <color theme="1"/>
      <name val="Calibri"/>
      <family val="2"/>
      <scheme val="minor"/>
    </font>
    <font>
      <sz val="11"/>
      <color rgb="FF800080"/>
      <name val="Calibri"/>
      <family val="2"/>
      <scheme val="minor"/>
    </font>
    <font>
      <u/>
      <sz val="11"/>
      <color rgb="FF0066CC"/>
      <name val="Calibri"/>
      <family val="2"/>
      <scheme val="minor"/>
    </font>
    <font>
      <i/>
      <sz val="11"/>
      <color theme="1"/>
      <name val="Calibri"/>
      <family val="2"/>
      <scheme val="minor"/>
    </font>
    <font>
      <sz val="11"/>
      <color theme="1"/>
      <name val="Calibri"/>
      <family val="2"/>
      <scheme val="minor"/>
    </font>
    <font>
      <sz val="10"/>
      <name val="Arial"/>
      <family val="2"/>
    </font>
    <font>
      <b/>
      <sz val="10"/>
      <name val="Arial"/>
      <family val="2"/>
    </font>
    <font>
      <b/>
      <u/>
      <sz val="18"/>
      <name val="Arial"/>
      <family val="2"/>
    </font>
    <font>
      <sz val="10"/>
      <color theme="1"/>
      <name val="Arial"/>
      <family val="2"/>
    </font>
    <font>
      <u/>
      <sz val="10"/>
      <color indexed="12"/>
      <name val="Arial"/>
      <family val="2"/>
    </font>
    <font>
      <sz val="11"/>
      <name val="CG Omega"/>
      <family val="2"/>
    </font>
    <font>
      <sz val="10"/>
      <name val="Verdana"/>
      <family val="2"/>
    </font>
    <font>
      <b/>
      <u/>
      <sz val="16"/>
      <color indexed="60"/>
      <name val="Arial"/>
      <family val="2"/>
    </font>
    <font>
      <sz val="12"/>
      <color indexed="8"/>
      <name val="Times New Roman"/>
      <family val="1"/>
    </font>
    <font>
      <b/>
      <sz val="12"/>
      <color indexed="8"/>
      <name val="Times New Roman"/>
      <family val="1"/>
    </font>
    <font>
      <sz val="12"/>
      <name val="Times New Roman"/>
      <family val="1"/>
    </font>
    <font>
      <b/>
      <sz val="12"/>
      <name val="Times New Roman"/>
      <family val="1"/>
    </font>
    <font>
      <b/>
      <sz val="12"/>
      <color theme="1"/>
      <name val="Times New Roman"/>
      <family val="1"/>
    </font>
    <font>
      <i/>
      <sz val="12"/>
      <name val="Times New Roman"/>
      <family val="1"/>
    </font>
    <font>
      <b/>
      <u/>
      <sz val="12"/>
      <name val="Times New Roman"/>
      <family val="1"/>
    </font>
    <font>
      <sz val="10"/>
      <name val="Tw Cen MT"/>
      <family val="2"/>
    </font>
    <font>
      <sz val="9"/>
      <name val="Tw Cen MT"/>
      <family val="2"/>
    </font>
    <font>
      <b/>
      <sz val="10"/>
      <name val="Tw Cen MT"/>
      <family val="2"/>
    </font>
    <font>
      <sz val="9"/>
      <name val="Arial"/>
      <family val="2"/>
    </font>
    <font>
      <b/>
      <sz val="14"/>
      <color indexed="12"/>
      <name val="Tw Cen MT"/>
      <family val="2"/>
    </font>
    <font>
      <b/>
      <sz val="14"/>
      <name val="Tw Cen MT"/>
      <family val="2"/>
    </font>
    <font>
      <b/>
      <sz val="10"/>
      <color indexed="9"/>
      <name val="Tw Cen MT"/>
      <family val="2"/>
    </font>
    <font>
      <b/>
      <sz val="12"/>
      <name val="Arial"/>
      <family val="2"/>
    </font>
    <font>
      <sz val="12"/>
      <name val="Arial"/>
      <family val="2"/>
    </font>
    <font>
      <sz val="10"/>
      <name val="Calibri"/>
      <family val="2"/>
      <scheme val="minor"/>
    </font>
    <font>
      <b/>
      <sz val="10"/>
      <name val="Calibri"/>
      <family val="2"/>
      <scheme val="minor"/>
    </font>
    <font>
      <b/>
      <sz val="12"/>
      <color indexed="12"/>
      <name val="Arial"/>
      <family val="2"/>
    </font>
    <font>
      <b/>
      <sz val="11"/>
      <name val="Calibri"/>
      <family val="2"/>
      <scheme val="minor"/>
    </font>
    <font>
      <b/>
      <sz val="12"/>
      <name val="Calibri"/>
      <family val="2"/>
      <scheme val="minor"/>
    </font>
    <font>
      <b/>
      <sz val="14"/>
      <color theme="1"/>
      <name val="Calibri"/>
      <family val="2"/>
      <scheme val="minor"/>
    </font>
    <font>
      <sz val="11"/>
      <color indexed="20"/>
      <name val="Arial"/>
      <family val="2"/>
    </font>
    <font>
      <b/>
      <sz val="10"/>
      <color indexed="12"/>
      <name val="Arial"/>
      <family val="2"/>
    </font>
    <font>
      <b/>
      <sz val="14"/>
      <name val="Arial"/>
      <family val="2"/>
    </font>
    <font>
      <b/>
      <u/>
      <sz val="10"/>
      <name val="Arial"/>
      <family val="2"/>
    </font>
    <font>
      <sz val="10"/>
      <color indexed="20"/>
      <name val="Arial"/>
      <family val="2"/>
    </font>
    <font>
      <b/>
      <sz val="13"/>
      <name val="Arial"/>
      <family val="2"/>
    </font>
    <font>
      <u/>
      <sz val="11"/>
      <color theme="11"/>
      <name val="Calibri"/>
      <family val="2"/>
      <scheme val="minor"/>
    </font>
    <font>
      <b/>
      <sz val="10"/>
      <color indexed="53"/>
      <name val="Arial"/>
      <family val="2"/>
    </font>
    <font>
      <u/>
      <sz val="10"/>
      <name val="Arial"/>
      <family val="2"/>
    </font>
    <font>
      <u/>
      <sz val="15"/>
      <name val="Arial"/>
      <family val="2"/>
    </font>
    <font>
      <b/>
      <sz val="10"/>
      <color rgb="FFFFFF00"/>
      <name val="Arial"/>
      <family val="2"/>
    </font>
    <font>
      <b/>
      <sz val="12"/>
      <color rgb="FFFFFF00"/>
      <name val="Arial"/>
      <family val="2"/>
    </font>
    <font>
      <sz val="8"/>
      <name val="Calibri"/>
      <family val="2"/>
      <scheme val="minor"/>
    </font>
    <font>
      <u/>
      <sz val="11"/>
      <color theme="10"/>
      <name val="Calibri"/>
      <family val="2"/>
      <scheme val="minor"/>
    </font>
    <font>
      <sz val="11"/>
      <color rgb="FFFF00FF"/>
      <name val="Calibri"/>
      <family val="2"/>
      <scheme val="minor"/>
    </font>
  </fonts>
  <fills count="26">
    <fill>
      <patternFill patternType="none"/>
    </fill>
    <fill>
      <patternFill patternType="gray125"/>
    </fill>
    <fill>
      <patternFill patternType="solid">
        <fgColor rgb="FFFFCC99"/>
        <bgColor indexed="64"/>
      </patternFill>
    </fill>
    <fill>
      <patternFill patternType="solid">
        <fgColor rgb="FFCCFFFF"/>
        <bgColor indexed="64"/>
      </patternFill>
    </fill>
    <fill>
      <patternFill patternType="solid">
        <fgColor rgb="FFE9E9E9"/>
        <bgColor indexed="64"/>
      </patternFill>
    </fill>
    <fill>
      <patternFill patternType="solid">
        <fgColor rgb="FFFFFFCC"/>
        <bgColor indexed="64"/>
      </patternFill>
    </fill>
    <fill>
      <patternFill patternType="solid">
        <fgColor rgb="FFCCFFCC"/>
        <bgColor indexed="64"/>
      </patternFill>
    </fill>
    <fill>
      <patternFill patternType="lightGrid">
        <fgColor rgb="FFE9E9E9"/>
        <bgColor rgb="FFFFFFFF"/>
      </patternFill>
    </fill>
    <fill>
      <patternFill patternType="lightUp">
        <fgColor rgb="FFE9E9E9"/>
        <bgColor rgb="FFFFFFFF"/>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theme="3" tint="0.39997558519241921"/>
        <bgColor indexed="64"/>
      </patternFill>
    </fill>
    <fill>
      <patternFill patternType="lightGrid">
        <fgColor indexed="22"/>
      </patternFill>
    </fill>
    <fill>
      <patternFill patternType="solid">
        <fgColor rgb="FFFFFFFF"/>
        <bgColor indexed="64"/>
      </patternFill>
    </fill>
    <fill>
      <patternFill patternType="solid">
        <fgColor indexed="60"/>
        <bgColor indexed="64"/>
      </patternFill>
    </fill>
    <fill>
      <patternFill patternType="solid">
        <fgColor indexed="26"/>
        <bgColor indexed="64"/>
      </patternFill>
    </fill>
    <fill>
      <patternFill patternType="solid">
        <fgColor theme="9" tint="0.39997558519241921"/>
        <bgColor indexed="64"/>
      </patternFill>
    </fill>
    <fill>
      <patternFill patternType="solid">
        <fgColor theme="1" tint="0.14999847407452621"/>
        <bgColor indexed="64"/>
      </patternFill>
    </fill>
    <fill>
      <patternFill patternType="solid">
        <fgColor indexed="9"/>
        <bgColor indexed="64"/>
      </patternFill>
    </fill>
    <fill>
      <patternFill patternType="solid">
        <fgColor rgb="FF4579C9"/>
        <bgColor indexed="64"/>
      </patternFill>
    </fill>
    <fill>
      <patternFill patternType="solid">
        <fgColor rgb="FFC5FFFF"/>
        <bgColor indexed="64"/>
      </patternFill>
    </fill>
    <fill>
      <patternFill patternType="solid">
        <fgColor theme="1"/>
        <bgColor indexed="64"/>
      </patternFill>
    </fill>
    <fill>
      <patternFill patternType="solid">
        <fgColor rgb="FF000000"/>
        <bgColor rgb="FF000000"/>
      </patternFill>
    </fill>
  </fills>
  <borders count="54">
    <border>
      <left/>
      <right/>
      <top/>
      <bottom/>
      <diagonal/>
    </border>
    <border>
      <left/>
      <right/>
      <top style="dashed">
        <color rgb="FF800080"/>
      </top>
      <bottom style="dashed">
        <color rgb="FF80008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medium">
        <color auto="1"/>
      </top>
      <bottom style="thin">
        <color auto="1"/>
      </bottom>
      <diagonal/>
    </border>
    <border>
      <left style="dashed">
        <color indexed="20"/>
      </left>
      <right/>
      <top style="dashed">
        <color indexed="20"/>
      </top>
      <bottom style="dashed">
        <color indexed="20"/>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right/>
      <top style="dashed">
        <color indexed="20"/>
      </top>
      <bottom style="dashed">
        <color indexed="20"/>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04">
    <xf numFmtId="0" fontId="0" fillId="0" borderId="0"/>
    <xf numFmtId="0" fontId="7" fillId="0" borderId="0"/>
    <xf numFmtId="0" fontId="7" fillId="0" borderId="0"/>
    <xf numFmtId="43" fontId="7"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xf numFmtId="0" fontId="6" fillId="0" borderId="0"/>
    <xf numFmtId="0" fontId="12" fillId="0" borderId="0">
      <alignment vertical="top"/>
    </xf>
    <xf numFmtId="0" fontId="10" fillId="0" borderId="0"/>
    <xf numFmtId="0" fontId="10" fillId="0" borderId="0"/>
    <xf numFmtId="0" fontId="13" fillId="0" borderId="0"/>
    <xf numFmtId="9" fontId="7"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372">
    <xf numFmtId="0" fontId="0" fillId="0" borderId="0" xfId="0"/>
    <xf numFmtId="49" fontId="1" fillId="0" borderId="0" xfId="0" applyNumberFormat="1" applyFont="1" applyAlignment="1">
      <alignment horizontal="left"/>
    </xf>
    <xf numFmtId="49" fontId="0" fillId="0" borderId="0" xfId="0" applyNumberFormat="1" applyAlignment="1">
      <alignment horizontal="left" vertical="center"/>
    </xf>
    <xf numFmtId="49" fontId="2" fillId="2" borderId="0" xfId="0" applyNumberFormat="1" applyFont="1" applyFill="1" applyAlignment="1">
      <alignment horizontal="center" vertical="center" wrapText="1"/>
    </xf>
    <xf numFmtId="164" fontId="0" fillId="3" borderId="0" xfId="0" applyNumberFormat="1" applyFill="1" applyAlignment="1" applyProtection="1">
      <alignment horizontal="center" vertical="center"/>
      <protection locked="0"/>
    </xf>
    <xf numFmtId="164" fontId="0" fillId="4" borderId="0" xfId="0" applyNumberFormat="1" applyFill="1" applyAlignment="1">
      <alignment horizontal="center" vertical="center"/>
    </xf>
    <xf numFmtId="165" fontId="0" fillId="7" borderId="0" xfId="0" applyNumberFormat="1" applyFill="1" applyAlignment="1" applyProtection="1">
      <alignment horizontal="center" vertical="center"/>
      <protection locked="0"/>
    </xf>
    <xf numFmtId="0" fontId="3" fillId="0" borderId="1" xfId="0" applyFont="1" applyBorder="1" applyAlignment="1" applyProtection="1">
      <alignment vertical="center"/>
      <protection locked="0"/>
    </xf>
    <xf numFmtId="49" fontId="2" fillId="2" borderId="0" xfId="0" applyNumberFormat="1" applyFont="1" applyFill="1" applyAlignment="1">
      <alignment horizontal="left" vertical="center" wrapText="1"/>
    </xf>
    <xf numFmtId="49" fontId="0" fillId="3" borderId="0" xfId="0" applyNumberFormat="1" applyFill="1" applyAlignment="1" applyProtection="1">
      <alignment horizontal="left" vertical="center" wrapText="1"/>
      <protection locked="0"/>
    </xf>
    <xf numFmtId="166" fontId="0" fillId="3" borderId="0" xfId="0" applyNumberFormat="1" applyFill="1" applyAlignment="1" applyProtection="1">
      <alignment horizontal="center" vertical="center"/>
      <protection locked="0"/>
    </xf>
    <xf numFmtId="167" fontId="0" fillId="3" borderId="0" xfId="0" applyNumberFormat="1" applyFill="1" applyAlignment="1" applyProtection="1">
      <alignment horizontal="center" vertical="center"/>
      <protection locked="0"/>
    </xf>
    <xf numFmtId="49" fontId="5" fillId="2" borderId="0" xfId="0" applyNumberFormat="1" applyFont="1" applyFill="1" applyAlignment="1">
      <alignment horizontal="left" vertical="center" wrapText="1"/>
    </xf>
    <xf numFmtId="0" fontId="0" fillId="0" borderId="0" xfId="0" applyAlignment="1" applyProtection="1">
      <alignment vertical="center"/>
      <protection locked="0"/>
    </xf>
    <xf numFmtId="168" fontId="0" fillId="3" borderId="0" xfId="0" applyNumberFormat="1" applyFill="1" applyAlignment="1" applyProtection="1">
      <alignment horizontal="center" vertical="center"/>
      <protection locked="0"/>
    </xf>
    <xf numFmtId="49" fontId="5" fillId="2" borderId="2" xfId="0" applyNumberFormat="1" applyFont="1" applyFill="1" applyBorder="1" applyAlignment="1">
      <alignment horizontal="centerContinuous" vertical="center" wrapText="1"/>
    </xf>
    <xf numFmtId="0" fontId="7" fillId="0" borderId="0" xfId="1" applyAlignment="1">
      <alignment vertical="center"/>
    </xf>
    <xf numFmtId="0" fontId="7" fillId="0" borderId="0" xfId="1" applyAlignment="1">
      <alignment horizontal="right" vertical="center"/>
    </xf>
    <xf numFmtId="0" fontId="0" fillId="0" borderId="3" xfId="1" applyFont="1" applyBorder="1" applyAlignment="1">
      <alignment vertical="center"/>
    </xf>
    <xf numFmtId="0" fontId="7" fillId="0" borderId="3" xfId="1" applyBorder="1" applyAlignment="1">
      <alignment vertical="center"/>
    </xf>
    <xf numFmtId="0" fontId="7" fillId="0" borderId="3" xfId="1" applyFill="1" applyBorder="1" applyAlignment="1">
      <alignment vertical="center"/>
    </xf>
    <xf numFmtId="0" fontId="8" fillId="0" borderId="3" xfId="1" applyFont="1" applyBorder="1" applyAlignment="1">
      <alignment vertical="center"/>
    </xf>
    <xf numFmtId="0" fontId="8" fillId="0" borderId="0" xfId="1" applyFont="1" applyAlignment="1">
      <alignment vertical="center"/>
    </xf>
    <xf numFmtId="170" fontId="7" fillId="0" borderId="0" xfId="1" applyNumberFormat="1" applyAlignment="1">
      <alignment horizontal="left" vertical="center"/>
    </xf>
    <xf numFmtId="0" fontId="7" fillId="0" borderId="0" xfId="1" applyAlignment="1">
      <alignment horizontal="left" vertical="center"/>
    </xf>
    <xf numFmtId="0" fontId="9" fillId="0" borderId="0" xfId="1" applyFont="1" applyAlignment="1">
      <alignment vertical="center"/>
    </xf>
    <xf numFmtId="0" fontId="7" fillId="0" borderId="0" xfId="1"/>
    <xf numFmtId="0" fontId="8" fillId="0" borderId="0" xfId="1" applyFont="1"/>
    <xf numFmtId="0" fontId="7" fillId="0" borderId="0" xfId="1" applyFont="1"/>
    <xf numFmtId="0" fontId="7" fillId="0" borderId="0" xfId="1" applyFill="1" applyBorder="1" applyAlignment="1">
      <alignment wrapText="1"/>
    </xf>
    <xf numFmtId="0" fontId="14" fillId="0" borderId="0" xfId="1" applyFont="1" applyFill="1"/>
    <xf numFmtId="0" fontId="7" fillId="0" borderId="0" xfId="7" applyFont="1" applyBorder="1"/>
    <xf numFmtId="0" fontId="15" fillId="0" borderId="3" xfId="7" applyFont="1" applyBorder="1" applyAlignment="1">
      <alignment horizontal="left" vertical="center" wrapText="1"/>
    </xf>
    <xf numFmtId="171" fontId="16" fillId="0" borderId="3" xfId="14" applyNumberFormat="1" applyFont="1" applyBorder="1" applyAlignment="1">
      <alignment horizontal="center" vertical="center" wrapText="1"/>
    </xf>
    <xf numFmtId="0" fontId="17" fillId="0" borderId="3" xfId="7" applyFont="1" applyBorder="1" applyAlignment="1">
      <alignment horizontal="center" vertical="center" wrapText="1"/>
    </xf>
    <xf numFmtId="0" fontId="17" fillId="0" borderId="3" xfId="7" applyFont="1" applyFill="1" applyBorder="1" applyAlignment="1">
      <alignment vertical="center" wrapText="1"/>
    </xf>
    <xf numFmtId="172" fontId="17" fillId="0" borderId="3" xfId="7" applyNumberFormat="1" applyFont="1" applyBorder="1" applyAlignment="1">
      <alignment horizontal="left" vertical="center" wrapText="1"/>
    </xf>
    <xf numFmtId="171" fontId="18" fillId="0" borderId="3" xfId="14" applyNumberFormat="1" applyFont="1" applyBorder="1" applyAlignment="1">
      <alignment horizontal="center" vertical="center" wrapText="1"/>
    </xf>
    <xf numFmtId="172" fontId="19" fillId="10" borderId="3" xfId="7" applyNumberFormat="1" applyFont="1" applyFill="1" applyBorder="1" applyAlignment="1">
      <alignment horizontal="left" vertical="center" wrapText="1"/>
    </xf>
    <xf numFmtId="173" fontId="19" fillId="10" borderId="3" xfId="7" applyNumberFormat="1" applyFont="1" applyFill="1" applyBorder="1" applyAlignment="1">
      <alignment horizontal="center" vertical="center" wrapText="1"/>
    </xf>
    <xf numFmtId="0" fontId="18" fillId="10" borderId="3" xfId="7" applyFont="1" applyFill="1" applyBorder="1" applyAlignment="1">
      <alignment vertical="center" wrapText="1"/>
    </xf>
    <xf numFmtId="0" fontId="19" fillId="10" borderId="3" xfId="7" applyFont="1" applyFill="1" applyBorder="1" applyAlignment="1">
      <alignment vertical="center" wrapText="1"/>
    </xf>
    <xf numFmtId="172" fontId="18" fillId="10" borderId="3" xfId="7" applyNumberFormat="1" applyFont="1" applyFill="1" applyBorder="1" applyAlignment="1">
      <alignment horizontal="left" vertical="center" wrapText="1"/>
    </xf>
    <xf numFmtId="173" fontId="18" fillId="10" borderId="3" xfId="7" applyNumberFormat="1" applyFont="1" applyFill="1" applyBorder="1" applyAlignment="1">
      <alignment horizontal="center" vertical="center" wrapText="1"/>
    </xf>
    <xf numFmtId="0" fontId="18" fillId="10" borderId="3" xfId="7" applyFont="1" applyFill="1" applyBorder="1" applyAlignment="1">
      <alignment horizontal="center" vertical="center" wrapText="1"/>
    </xf>
    <xf numFmtId="0" fontId="20" fillId="0" borderId="3" xfId="7" applyFont="1" applyFill="1" applyBorder="1" applyAlignment="1">
      <alignment vertical="center" wrapText="1"/>
    </xf>
    <xf numFmtId="0" fontId="17" fillId="0" borderId="3" xfId="7" applyFont="1" applyBorder="1" applyAlignment="1">
      <alignment vertical="center" wrapText="1"/>
    </xf>
    <xf numFmtId="0" fontId="17" fillId="10" borderId="3" xfId="7" applyFont="1" applyFill="1" applyBorder="1" applyAlignment="1">
      <alignment vertical="center" wrapText="1"/>
    </xf>
    <xf numFmtId="0" fontId="18" fillId="10" borderId="15" xfId="7" applyFont="1" applyFill="1" applyBorder="1" applyAlignment="1">
      <alignment vertical="center" wrapText="1"/>
    </xf>
    <xf numFmtId="0" fontId="20" fillId="9" borderId="3" xfId="7" applyFont="1" applyFill="1" applyBorder="1" applyAlignment="1">
      <alignment vertical="center" wrapText="1"/>
    </xf>
    <xf numFmtId="0" fontId="17" fillId="9" borderId="3" xfId="7" applyFont="1" applyFill="1" applyBorder="1" applyAlignment="1">
      <alignment vertical="center" wrapText="1"/>
    </xf>
    <xf numFmtId="0" fontId="17" fillId="0" borderId="3" xfId="7" applyFont="1" applyFill="1" applyBorder="1" applyAlignment="1">
      <alignment horizontal="center" vertical="center" wrapText="1"/>
    </xf>
    <xf numFmtId="173" fontId="16" fillId="10" borderId="3" xfId="7" applyNumberFormat="1" applyFont="1" applyFill="1" applyBorder="1" applyAlignment="1">
      <alignment horizontal="center" vertical="center" wrapText="1"/>
    </xf>
    <xf numFmtId="0" fontId="15" fillId="9" borderId="3" xfId="7" applyFont="1" applyFill="1" applyBorder="1" applyAlignment="1">
      <alignment horizontal="left" vertical="center" wrapText="1"/>
    </xf>
    <xf numFmtId="0" fontId="17" fillId="0" borderId="3" xfId="11" applyFont="1" applyBorder="1" applyAlignment="1">
      <alignment horizontal="center" vertical="center" wrapText="1"/>
    </xf>
    <xf numFmtId="0" fontId="17" fillId="0" borderId="3" xfId="7" quotePrefix="1" applyFont="1" applyBorder="1" applyAlignment="1">
      <alignment horizontal="center" vertical="center" wrapText="1"/>
    </xf>
    <xf numFmtId="0" fontId="17" fillId="9" borderId="3" xfId="7" applyFont="1" applyFill="1" applyBorder="1" applyAlignment="1">
      <alignment horizontal="center" vertical="center" wrapText="1"/>
    </xf>
    <xf numFmtId="0" fontId="18" fillId="10" borderId="16" xfId="7" applyFont="1" applyFill="1" applyBorder="1" applyAlignment="1">
      <alignment vertical="center" wrapText="1"/>
    </xf>
    <xf numFmtId="172" fontId="18" fillId="0" borderId="6" xfId="7" applyNumberFormat="1"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6" xfId="7" applyFont="1" applyFill="1" applyBorder="1" applyAlignment="1">
      <alignment horizontal="center" vertical="center" wrapText="1"/>
    </xf>
    <xf numFmtId="172" fontId="17" fillId="0" borderId="3" xfId="7" applyNumberFormat="1" applyFont="1" applyFill="1" applyBorder="1" applyAlignment="1">
      <alignment horizontal="center" vertical="center" wrapText="1"/>
    </xf>
    <xf numFmtId="172" fontId="18" fillId="0" borderId="6" xfId="7" quotePrefix="1" applyNumberFormat="1" applyFont="1" applyFill="1" applyBorder="1" applyAlignment="1">
      <alignment horizontal="center" vertical="center" wrapText="1"/>
    </xf>
    <xf numFmtId="0" fontId="17" fillId="0" borderId="0" xfId="7" applyFont="1" applyAlignment="1">
      <alignment vertical="center"/>
    </xf>
    <xf numFmtId="0" fontId="18" fillId="0" borderId="0" xfId="7" applyFont="1" applyAlignment="1">
      <alignment horizontal="center" vertical="center"/>
    </xf>
    <xf numFmtId="0" fontId="17" fillId="0" borderId="0" xfId="7" applyFont="1" applyAlignment="1">
      <alignment horizontal="center" vertical="center"/>
    </xf>
    <xf numFmtId="0" fontId="18" fillId="0" borderId="0" xfId="7" applyFont="1" applyAlignment="1">
      <alignment vertical="center"/>
    </xf>
    <xf numFmtId="0" fontId="21" fillId="0" borderId="0" xfId="7" applyFont="1" applyAlignment="1">
      <alignment vertical="center"/>
    </xf>
    <xf numFmtId="0" fontId="22" fillId="0" borderId="0" xfId="1" applyFont="1"/>
    <xf numFmtId="0" fontId="22" fillId="0" borderId="0" xfId="1" applyFont="1" applyAlignment="1">
      <alignment horizontal="center" vertical="center" wrapText="1"/>
    </xf>
    <xf numFmtId="0" fontId="22" fillId="0" borderId="0" xfId="1" applyFont="1" applyAlignment="1">
      <alignment horizontal="center"/>
    </xf>
    <xf numFmtId="177" fontId="23" fillId="11" borderId="3" xfId="1" applyNumberFormat="1" applyFont="1" applyFill="1" applyBorder="1" applyAlignment="1">
      <alignment horizontal="center" wrapText="1"/>
    </xf>
    <xf numFmtId="177" fontId="23" fillId="11" borderId="3" xfId="1" applyNumberFormat="1" applyFont="1" applyFill="1" applyBorder="1" applyAlignment="1">
      <alignment horizontal="center"/>
    </xf>
    <xf numFmtId="0" fontId="24" fillId="12" borderId="3" xfId="1" applyFont="1" applyFill="1" applyBorder="1"/>
    <xf numFmtId="177" fontId="23" fillId="13" borderId="3" xfId="1" applyNumberFormat="1" applyFont="1" applyFill="1" applyBorder="1" applyAlignment="1">
      <alignment horizontal="center" wrapText="1"/>
    </xf>
    <xf numFmtId="178" fontId="25" fillId="13" borderId="3" xfId="3" applyNumberFormat="1" applyFont="1" applyFill="1" applyBorder="1" applyAlignment="1" applyProtection="1">
      <alignment horizontal="center" vertical="center"/>
      <protection locked="0"/>
    </xf>
    <xf numFmtId="178" fontId="23" fillId="13" borderId="3" xfId="3" applyNumberFormat="1" applyFont="1" applyFill="1" applyBorder="1" applyAlignment="1">
      <alignment horizontal="center"/>
    </xf>
    <xf numFmtId="0" fontId="22" fillId="12" borderId="3" xfId="1" applyFont="1" applyFill="1" applyBorder="1" applyAlignment="1">
      <alignment horizontal="left" indent="2"/>
    </xf>
    <xf numFmtId="179" fontId="25" fillId="13" borderId="3" xfId="3" applyNumberFormat="1" applyFont="1" applyFill="1" applyBorder="1" applyAlignment="1" applyProtection="1">
      <alignment horizontal="center" vertical="center"/>
      <protection locked="0"/>
    </xf>
    <xf numFmtId="179" fontId="23" fillId="13" borderId="3" xfId="3" applyNumberFormat="1" applyFont="1" applyFill="1" applyBorder="1" applyAlignment="1">
      <alignment horizontal="center"/>
    </xf>
    <xf numFmtId="180" fontId="25" fillId="13" borderId="3" xfId="1" applyNumberFormat="1" applyFont="1" applyFill="1" applyBorder="1" applyAlignment="1" applyProtection="1">
      <alignment horizontal="center" vertical="center"/>
      <protection locked="0"/>
    </xf>
    <xf numFmtId="171" fontId="23" fillId="13" borderId="3" xfId="1" applyNumberFormat="1" applyFont="1" applyFill="1" applyBorder="1" applyAlignment="1">
      <alignment horizontal="center"/>
    </xf>
    <xf numFmtId="171" fontId="23" fillId="11" borderId="3" xfId="1" applyNumberFormat="1" applyFont="1" applyFill="1" applyBorder="1" applyAlignment="1">
      <alignment horizontal="center"/>
    </xf>
    <xf numFmtId="0" fontId="22" fillId="12" borderId="3" xfId="1" applyFont="1" applyFill="1" applyBorder="1"/>
    <xf numFmtId="171" fontId="23" fillId="13" borderId="3" xfId="12" applyNumberFormat="1" applyFont="1" applyFill="1" applyBorder="1" applyAlignment="1">
      <alignment horizontal="center"/>
    </xf>
    <xf numFmtId="171" fontId="23" fillId="11" borderId="3" xfId="12" applyNumberFormat="1" applyFont="1" applyFill="1" applyBorder="1" applyAlignment="1">
      <alignment horizontal="center"/>
    </xf>
    <xf numFmtId="0" fontId="22" fillId="12" borderId="3" xfId="1" applyFont="1" applyFill="1" applyBorder="1" applyAlignment="1">
      <alignment horizontal="left" wrapText="1" indent="2"/>
    </xf>
    <xf numFmtId="9" fontId="23" fillId="11" borderId="3" xfId="1" applyNumberFormat="1" applyFont="1" applyFill="1" applyBorder="1" applyAlignment="1">
      <alignment horizontal="center"/>
    </xf>
    <xf numFmtId="179" fontId="25" fillId="14" borderId="3" xfId="3" applyNumberFormat="1" applyFont="1" applyFill="1" applyBorder="1" applyAlignment="1" applyProtection="1">
      <alignment horizontal="center" vertical="center"/>
    </xf>
    <xf numFmtId="9" fontId="23" fillId="13" borderId="3" xfId="12" applyFont="1" applyFill="1" applyBorder="1" applyAlignment="1">
      <alignment horizontal="center"/>
    </xf>
    <xf numFmtId="0" fontId="24" fillId="12" borderId="3" xfId="1" applyFont="1" applyFill="1" applyBorder="1" applyAlignment="1">
      <alignment horizontal="left"/>
    </xf>
    <xf numFmtId="181" fontId="25" fillId="15" borderId="3" xfId="1" applyNumberFormat="1" applyFont="1" applyFill="1" applyBorder="1" applyAlignment="1" applyProtection="1">
      <alignment horizontal="center" vertical="center"/>
      <protection locked="0"/>
    </xf>
    <xf numFmtId="182" fontId="25" fillId="13" borderId="3" xfId="1" applyNumberFormat="1" applyFont="1" applyFill="1" applyBorder="1" applyAlignment="1" applyProtection="1">
      <alignment horizontal="center" vertical="center"/>
      <protection locked="0"/>
    </xf>
    <xf numFmtId="183" fontId="23" fillId="14" borderId="3" xfId="1" applyNumberFormat="1" applyFont="1" applyFill="1" applyBorder="1" applyAlignment="1" applyProtection="1">
      <alignment horizontal="center"/>
    </xf>
    <xf numFmtId="183" fontId="23" fillId="13" borderId="3" xfId="1" applyNumberFormat="1" applyFont="1" applyFill="1" applyBorder="1" applyAlignment="1">
      <alignment horizontal="center"/>
    </xf>
    <xf numFmtId="184" fontId="25" fillId="14" borderId="3" xfId="1" applyNumberFormat="1" applyFont="1" applyFill="1" applyBorder="1" applyAlignment="1" applyProtection="1">
      <alignment horizontal="center" vertical="center"/>
    </xf>
    <xf numFmtId="184" fontId="25" fillId="13" borderId="3" xfId="1" applyNumberFormat="1" applyFont="1" applyFill="1" applyBorder="1" applyAlignment="1" applyProtection="1">
      <alignment horizontal="center" vertical="center"/>
      <protection locked="0"/>
    </xf>
    <xf numFmtId="179" fontId="23" fillId="14" borderId="3" xfId="3" applyNumberFormat="1" applyFont="1" applyFill="1" applyBorder="1" applyAlignment="1" applyProtection="1">
      <alignment horizontal="center"/>
    </xf>
    <xf numFmtId="177" fontId="23" fillId="13" borderId="3" xfId="1" applyNumberFormat="1" applyFont="1" applyFill="1" applyBorder="1" applyAlignment="1">
      <alignment horizontal="center"/>
    </xf>
    <xf numFmtId="0" fontId="22" fillId="12" borderId="3" xfId="1" applyFont="1" applyFill="1" applyBorder="1" applyAlignment="1" applyProtection="1">
      <alignment horizontal="left" vertical="center" wrapText="1" indent="2"/>
    </xf>
    <xf numFmtId="10" fontId="23" fillId="13" borderId="3" xfId="1" applyNumberFormat="1" applyFont="1" applyFill="1" applyBorder="1" applyAlignment="1">
      <alignment horizontal="center" wrapText="1"/>
    </xf>
    <xf numFmtId="177" fontId="23" fillId="13" borderId="3" xfId="1" quotePrefix="1" applyNumberFormat="1" applyFont="1" applyFill="1" applyBorder="1" applyAlignment="1">
      <alignment horizontal="center"/>
    </xf>
    <xf numFmtId="0" fontId="25" fillId="13" borderId="3" xfId="1" applyFont="1" applyFill="1" applyBorder="1" applyAlignment="1" applyProtection="1">
      <alignment horizontal="center" vertical="center" wrapText="1"/>
      <protection locked="0"/>
    </xf>
    <xf numFmtId="177" fontId="23" fillId="13" borderId="3" xfId="1" quotePrefix="1" applyNumberFormat="1" applyFont="1" applyFill="1" applyBorder="1" applyAlignment="1">
      <alignment horizontal="center" wrapText="1"/>
    </xf>
    <xf numFmtId="17" fontId="25" fillId="16" borderId="3" xfId="1" applyNumberFormat="1" applyFont="1" applyFill="1" applyBorder="1" applyAlignment="1" applyProtection="1">
      <alignment horizontal="center" vertical="center" wrapText="1"/>
    </xf>
    <xf numFmtId="0" fontId="24" fillId="0" borderId="0" xfId="1" applyFont="1" applyAlignment="1">
      <alignment vertical="center" wrapText="1"/>
    </xf>
    <xf numFmtId="9" fontId="22" fillId="13" borderId="3" xfId="1" applyNumberFormat="1" applyFont="1" applyFill="1" applyBorder="1" applyAlignment="1">
      <alignment horizontal="center" vertical="center" wrapText="1"/>
    </xf>
    <xf numFmtId="171" fontId="22" fillId="13" borderId="3" xfId="1" applyNumberFormat="1" applyFont="1" applyFill="1" applyBorder="1" applyAlignment="1">
      <alignment horizontal="center" vertical="center"/>
    </xf>
    <xf numFmtId="0" fontId="26" fillId="11" borderId="3" xfId="1" applyFont="1" applyFill="1" applyBorder="1" applyAlignment="1">
      <alignment horizontal="center" vertical="center"/>
    </xf>
    <xf numFmtId="0" fontId="27" fillId="12" borderId="3" xfId="1" applyFont="1" applyFill="1" applyBorder="1" applyAlignment="1">
      <alignment vertical="center"/>
    </xf>
    <xf numFmtId="0" fontId="24" fillId="0" borderId="0" xfId="1" applyFont="1"/>
    <xf numFmtId="0" fontId="24" fillId="12" borderId="3" xfId="1" applyFont="1" applyFill="1" applyBorder="1" applyAlignment="1">
      <alignment horizontal="center" vertical="center" wrapText="1"/>
    </xf>
    <xf numFmtId="0" fontId="28" fillId="17" borderId="15" xfId="1" applyFont="1" applyFill="1" applyBorder="1" applyAlignment="1">
      <alignment horizontal="center" vertical="center" wrapText="1"/>
    </xf>
    <xf numFmtId="0" fontId="28" fillId="17" borderId="16" xfId="1" applyFont="1" applyFill="1" applyBorder="1" applyAlignment="1">
      <alignment horizontal="right" wrapText="1"/>
    </xf>
    <xf numFmtId="0" fontId="24" fillId="0" borderId="0" xfId="1" applyFont="1" applyBorder="1" applyAlignment="1">
      <alignment horizontal="center" vertical="center" wrapText="1"/>
    </xf>
    <xf numFmtId="0" fontId="24" fillId="13" borderId="16" xfId="1" quotePrefix="1" applyFont="1" applyFill="1" applyBorder="1" applyAlignment="1" applyProtection="1">
      <alignment horizontal="center" vertical="center" wrapText="1"/>
      <protection locked="0"/>
    </xf>
    <xf numFmtId="177" fontId="28" fillId="17" borderId="16" xfId="1" quotePrefix="1" applyNumberFormat="1" applyFont="1" applyFill="1" applyBorder="1" applyAlignment="1">
      <alignment horizontal="right" vertical="center" wrapText="1"/>
    </xf>
    <xf numFmtId="0" fontId="24" fillId="12" borderId="15" xfId="1" applyFont="1" applyFill="1" applyBorder="1" applyAlignment="1">
      <alignment horizontal="center"/>
    </xf>
    <xf numFmtId="0" fontId="28" fillId="17" borderId="3" xfId="1" applyFont="1" applyFill="1" applyBorder="1" applyAlignment="1">
      <alignment horizontal="right"/>
    </xf>
    <xf numFmtId="0" fontId="27" fillId="0" borderId="0" xfId="1" applyFont="1" applyFill="1" applyBorder="1"/>
    <xf numFmtId="0" fontId="30" fillId="12" borderId="3" xfId="1" applyFont="1" applyFill="1" applyBorder="1"/>
    <xf numFmtId="0" fontId="6" fillId="0" borderId="0" xfId="7"/>
    <xf numFmtId="185" fontId="31" fillId="18" borderId="17" xfId="1" applyNumberFormat="1" applyFont="1" applyFill="1" applyBorder="1" applyAlignment="1" applyProtection="1">
      <alignment horizontal="center" vertical="center"/>
    </xf>
    <xf numFmtId="185" fontId="31" fillId="18" borderId="18" xfId="1" applyNumberFormat="1" applyFont="1" applyFill="1" applyBorder="1" applyAlignment="1" applyProtection="1">
      <alignment horizontal="center" vertical="center"/>
    </xf>
    <xf numFmtId="185" fontId="31" fillId="18" borderId="19" xfId="1" applyNumberFormat="1" applyFont="1" applyFill="1" applyBorder="1" applyAlignment="1" applyProtection="1">
      <alignment horizontal="center" vertical="center"/>
    </xf>
    <xf numFmtId="177" fontId="23" fillId="13" borderId="20" xfId="1" applyNumberFormat="1" applyFont="1" applyFill="1" applyBorder="1" applyAlignment="1">
      <alignment horizontal="center" wrapText="1"/>
    </xf>
    <xf numFmtId="177" fontId="23" fillId="13" borderId="18" xfId="1" applyNumberFormat="1" applyFont="1" applyFill="1" applyBorder="1" applyAlignment="1">
      <alignment horizontal="center" wrapText="1"/>
    </xf>
    <xf numFmtId="177" fontId="23" fillId="13" borderId="19" xfId="1" applyNumberFormat="1" applyFont="1" applyFill="1" applyBorder="1" applyAlignment="1">
      <alignment horizontal="center" wrapText="1"/>
    </xf>
    <xf numFmtId="177" fontId="23" fillId="13" borderId="17" xfId="1" applyNumberFormat="1" applyFont="1" applyFill="1" applyBorder="1" applyAlignment="1">
      <alignment horizontal="center" wrapText="1"/>
    </xf>
    <xf numFmtId="0" fontId="32" fillId="12" borderId="21" xfId="1" applyFont="1" applyFill="1" applyBorder="1" applyAlignment="1">
      <alignment horizontal="left"/>
    </xf>
    <xf numFmtId="185" fontId="31" fillId="18" borderId="22" xfId="1" applyNumberFormat="1" applyFont="1" applyFill="1" applyBorder="1" applyAlignment="1" applyProtection="1">
      <alignment horizontal="center" vertical="center"/>
    </xf>
    <xf numFmtId="185" fontId="31" fillId="18" borderId="3" xfId="1" applyNumberFormat="1" applyFont="1" applyFill="1" applyBorder="1" applyAlignment="1" applyProtection="1">
      <alignment horizontal="center" vertical="center"/>
    </xf>
    <xf numFmtId="185" fontId="31" fillId="18" borderId="23" xfId="1" applyNumberFormat="1" applyFont="1" applyFill="1" applyBorder="1" applyAlignment="1" applyProtection="1">
      <alignment horizontal="center" vertical="center"/>
    </xf>
    <xf numFmtId="177" fontId="23" fillId="13" borderId="6" xfId="1" applyNumberFormat="1" applyFont="1" applyFill="1" applyBorder="1" applyAlignment="1">
      <alignment horizontal="center" wrapText="1"/>
    </xf>
    <xf numFmtId="177" fontId="23" fillId="13" borderId="23" xfId="1" applyNumberFormat="1" applyFont="1" applyFill="1" applyBorder="1" applyAlignment="1">
      <alignment horizontal="center" wrapText="1"/>
    </xf>
    <xf numFmtId="177" fontId="23" fillId="13" borderId="22" xfId="1" applyNumberFormat="1" applyFont="1" applyFill="1" applyBorder="1" applyAlignment="1">
      <alignment horizontal="center" wrapText="1"/>
    </xf>
    <xf numFmtId="0" fontId="32" fillId="12" borderId="24" xfId="1" applyFont="1" applyFill="1" applyBorder="1" applyAlignment="1">
      <alignment horizontal="left"/>
    </xf>
    <xf numFmtId="0" fontId="2" fillId="19" borderId="22" xfId="7" applyFont="1" applyFill="1" applyBorder="1" applyAlignment="1">
      <alignment horizontal="center" vertical="center" wrapText="1"/>
    </xf>
    <xf numFmtId="0" fontId="2" fillId="19" borderId="3" xfId="7" applyFont="1" applyFill="1" applyBorder="1" applyAlignment="1">
      <alignment horizontal="center" vertical="center" wrapText="1"/>
    </xf>
    <xf numFmtId="0" fontId="2" fillId="19" borderId="23" xfId="7" applyFont="1" applyFill="1" applyBorder="1" applyAlignment="1">
      <alignment horizontal="center" vertical="center" wrapText="1"/>
    </xf>
    <xf numFmtId="0" fontId="2" fillId="19" borderId="6" xfId="7" applyFont="1" applyFill="1" applyBorder="1" applyAlignment="1">
      <alignment horizontal="center" vertical="center" wrapText="1"/>
    </xf>
    <xf numFmtId="0" fontId="6" fillId="0" borderId="0" xfId="7" applyAlignment="1">
      <alignment vertical="center"/>
    </xf>
    <xf numFmtId="0" fontId="33" fillId="0" borderId="0" xfId="1" applyFont="1" applyAlignment="1">
      <alignment vertical="center"/>
    </xf>
    <xf numFmtId="0" fontId="6" fillId="20" borderId="0" xfId="7" applyFill="1"/>
    <xf numFmtId="0" fontId="32" fillId="12" borderId="29" xfId="1" applyFont="1" applyFill="1" applyBorder="1" applyAlignment="1">
      <alignment horizontal="left"/>
    </xf>
    <xf numFmtId="0" fontId="32" fillId="12" borderId="30" xfId="1" applyFont="1" applyFill="1" applyBorder="1" applyAlignment="1">
      <alignment horizontal="left"/>
    </xf>
    <xf numFmtId="0" fontId="6" fillId="0" borderId="0" xfId="7" applyFont="1" applyAlignment="1">
      <alignment vertical="center"/>
    </xf>
    <xf numFmtId="0" fontId="32" fillId="12" borderId="9" xfId="1" applyFont="1" applyFill="1" applyBorder="1" applyAlignment="1">
      <alignment horizontal="left"/>
    </xf>
    <xf numFmtId="185" fontId="31" fillId="18" borderId="32" xfId="1" applyNumberFormat="1" applyFont="1" applyFill="1" applyBorder="1" applyAlignment="1" applyProtection="1">
      <alignment horizontal="center" vertical="center"/>
    </xf>
    <xf numFmtId="185" fontId="31" fillId="18" borderId="33" xfId="1" applyNumberFormat="1" applyFont="1" applyFill="1" applyBorder="1" applyAlignment="1" applyProtection="1">
      <alignment horizontal="center" vertical="center"/>
    </xf>
    <xf numFmtId="0" fontId="34" fillId="12" borderId="34" xfId="1" applyFont="1" applyFill="1" applyBorder="1" applyAlignment="1">
      <alignment horizontal="center" vertical="center" wrapText="1"/>
    </xf>
    <xf numFmtId="0" fontId="35" fillId="12" borderId="35" xfId="1" applyFont="1" applyFill="1" applyBorder="1" applyAlignment="1">
      <alignment horizontal="center"/>
    </xf>
    <xf numFmtId="0" fontId="35" fillId="12" borderId="36" xfId="1" applyFont="1" applyFill="1" applyBorder="1" applyAlignment="1">
      <alignment horizontal="center"/>
    </xf>
    <xf numFmtId="0" fontId="35" fillId="12" borderId="37" xfId="1" applyFont="1" applyFill="1" applyBorder="1" applyAlignment="1">
      <alignment horizontal="center"/>
    </xf>
    <xf numFmtId="0" fontId="32" fillId="12" borderId="34" xfId="1" applyFont="1" applyFill="1" applyBorder="1" applyAlignment="1">
      <alignment horizontal="left"/>
    </xf>
    <xf numFmtId="2" fontId="7" fillId="15" borderId="33" xfId="7" applyNumberFormat="1" applyFont="1" applyFill="1" applyBorder="1" applyAlignment="1" applyProtection="1">
      <alignment horizontal="center" vertical="center"/>
      <protection locked="0"/>
    </xf>
    <xf numFmtId="175" fontId="7" fillId="15" borderId="6" xfId="7" applyNumberFormat="1" applyFont="1" applyFill="1" applyBorder="1" applyAlignment="1" applyProtection="1">
      <alignment horizontal="center" vertical="center"/>
      <protection locked="0"/>
    </xf>
    <xf numFmtId="175" fontId="7" fillId="15" borderId="3" xfId="7" applyNumberFormat="1" applyFont="1" applyFill="1" applyBorder="1" applyAlignment="1" applyProtection="1">
      <alignment horizontal="center" vertical="center"/>
      <protection locked="0"/>
    </xf>
    <xf numFmtId="175" fontId="7" fillId="15" borderId="23" xfId="7" applyNumberFormat="1" applyFont="1" applyFill="1" applyBorder="1" applyAlignment="1" applyProtection="1">
      <alignment horizontal="center" vertical="center"/>
      <protection locked="0"/>
    </xf>
    <xf numFmtId="0" fontId="36" fillId="0" borderId="0" xfId="7" applyFont="1" applyAlignment="1">
      <alignment vertical="center"/>
    </xf>
    <xf numFmtId="0" fontId="29" fillId="13" borderId="3" xfId="1" applyFont="1" applyFill="1" applyBorder="1" applyAlignment="1">
      <alignment horizontal="center"/>
    </xf>
    <xf numFmtId="0" fontId="35" fillId="12" borderId="3" xfId="1" applyFont="1" applyFill="1" applyBorder="1" applyAlignment="1">
      <alignment horizontal="left"/>
    </xf>
    <xf numFmtId="0" fontId="6" fillId="0" borderId="0" xfId="7" applyAlignment="1">
      <alignment horizontal="center" vertical="center"/>
    </xf>
    <xf numFmtId="0" fontId="2" fillId="0" borderId="0" xfId="7" applyFont="1" applyAlignment="1">
      <alignment vertical="center"/>
    </xf>
    <xf numFmtId="0" fontId="8" fillId="12" borderId="0" xfId="1" applyFont="1" applyFill="1" applyAlignment="1">
      <alignment vertical="center" wrapText="1"/>
    </xf>
    <xf numFmtId="0" fontId="8" fillId="12" borderId="40" xfId="1" applyFont="1" applyFill="1" applyBorder="1" applyAlignment="1">
      <alignment horizontal="center" vertical="center" wrapText="1"/>
    </xf>
    <xf numFmtId="0" fontId="8" fillId="12" borderId="0" xfId="1" applyFont="1" applyFill="1" applyBorder="1" applyAlignment="1">
      <alignment horizontal="center" vertical="center" wrapText="1"/>
    </xf>
    <xf numFmtId="0" fontId="8" fillId="12" borderId="41" xfId="1" applyFont="1" applyFill="1" applyBorder="1" applyAlignment="1">
      <alignment horizontal="center" vertical="center" wrapText="1"/>
    </xf>
    <xf numFmtId="0" fontId="37" fillId="0" borderId="43" xfId="1" applyFont="1" applyBorder="1" applyProtection="1">
      <protection locked="0"/>
    </xf>
    <xf numFmtId="0" fontId="7" fillId="0" borderId="0" xfId="1" applyAlignment="1">
      <alignment horizontal="center"/>
    </xf>
    <xf numFmtId="186" fontId="7" fillId="0" borderId="0" xfId="1" applyNumberFormat="1"/>
    <xf numFmtId="0" fontId="7" fillId="13" borderId="3" xfId="1" applyFill="1" applyBorder="1" applyAlignment="1">
      <alignment horizontal="center"/>
    </xf>
    <xf numFmtId="0" fontId="7" fillId="12" borderId="3" xfId="1" applyFill="1" applyBorder="1" applyAlignment="1">
      <alignment horizontal="center"/>
    </xf>
    <xf numFmtId="0" fontId="7" fillId="12" borderId="3" xfId="1" applyFill="1" applyBorder="1" applyAlignment="1">
      <alignment horizontal="center" wrapText="1"/>
    </xf>
    <xf numFmtId="0" fontId="29" fillId="0" borderId="0" xfId="1" applyFont="1" applyBorder="1" applyAlignment="1">
      <alignment vertical="center"/>
    </xf>
    <xf numFmtId="185" fontId="7" fillId="0" borderId="0" xfId="1" applyNumberFormat="1" applyBorder="1"/>
    <xf numFmtId="0" fontId="7" fillId="0" borderId="0" xfId="1" applyBorder="1"/>
    <xf numFmtId="185" fontId="7" fillId="0" borderId="3" xfId="1" applyNumberFormat="1" applyBorder="1"/>
    <xf numFmtId="0" fontId="7" fillId="0" borderId="3" xfId="1" applyBorder="1"/>
    <xf numFmtId="0" fontId="39" fillId="0" borderId="0" xfId="1" applyFont="1" applyFill="1" applyAlignment="1">
      <alignment horizontal="left" indent="4"/>
    </xf>
    <xf numFmtId="10" fontId="8" fillId="0" borderId="0" xfId="1" applyNumberFormat="1" applyFont="1" applyBorder="1" applyAlignment="1">
      <alignment horizontal="center"/>
    </xf>
    <xf numFmtId="10" fontId="8" fillId="0" borderId="3" xfId="1" applyNumberFormat="1" applyFont="1" applyBorder="1" applyAlignment="1">
      <alignment horizontal="center"/>
    </xf>
    <xf numFmtId="0" fontId="8" fillId="0" borderId="3" xfId="1" applyFont="1" applyBorder="1" applyAlignment="1">
      <alignment horizontal="center"/>
    </xf>
    <xf numFmtId="0" fontId="8" fillId="0" borderId="0" xfId="1" applyFont="1" applyBorder="1" applyAlignment="1">
      <alignment horizontal="center"/>
    </xf>
    <xf numFmtId="10" fontId="38" fillId="0" borderId="0" xfId="1" applyNumberFormat="1" applyFont="1" applyBorder="1" applyAlignment="1">
      <alignment horizontal="center"/>
    </xf>
    <xf numFmtId="0" fontId="7" fillId="0" borderId="0" xfId="1" applyBorder="1" applyAlignment="1">
      <alignment horizontal="center"/>
    </xf>
    <xf numFmtId="0" fontId="7" fillId="0" borderId="4" xfId="1" applyBorder="1"/>
    <xf numFmtId="10" fontId="8" fillId="13" borderId="23" xfId="1" applyNumberFormat="1" applyFont="1" applyFill="1" applyBorder="1" applyAlignment="1">
      <alignment horizontal="center"/>
    </xf>
    <xf numFmtId="0" fontId="7" fillId="11" borderId="19" xfId="1" applyFill="1" applyBorder="1"/>
    <xf numFmtId="0" fontId="7" fillId="13" borderId="6" xfId="1" applyFill="1" applyBorder="1"/>
    <xf numFmtId="0" fontId="7" fillId="11" borderId="23" xfId="1" applyFill="1" applyBorder="1"/>
    <xf numFmtId="0" fontId="7" fillId="12" borderId="4" xfId="1" applyFill="1" applyBorder="1" applyAlignment="1">
      <alignment horizontal="center"/>
    </xf>
    <xf numFmtId="0" fontId="8" fillId="12" borderId="22" xfId="1" applyFont="1" applyFill="1" applyBorder="1" applyAlignment="1">
      <alignment horizontal="center"/>
    </xf>
    <xf numFmtId="0" fontId="8" fillId="12" borderId="3" xfId="1" applyFont="1" applyFill="1" applyBorder="1" applyAlignment="1">
      <alignment horizontal="center"/>
    </xf>
    <xf numFmtId="0" fontId="8" fillId="12" borderId="23" xfId="1" applyFont="1" applyFill="1" applyBorder="1" applyAlignment="1">
      <alignment horizontal="center"/>
    </xf>
    <xf numFmtId="0" fontId="7" fillId="12" borderId="6" xfId="1" applyFill="1" applyBorder="1"/>
    <xf numFmtId="0" fontId="7" fillId="12" borderId="3" xfId="1" applyFill="1" applyBorder="1"/>
    <xf numFmtId="0" fontId="7" fillId="12" borderId="22" xfId="1" applyFill="1" applyBorder="1" applyAlignment="1">
      <alignment horizontal="center"/>
    </xf>
    <xf numFmtId="0" fontId="7" fillId="12" borderId="23" xfId="1" applyFill="1" applyBorder="1" applyAlignment="1">
      <alignment horizontal="center"/>
    </xf>
    <xf numFmtId="0" fontId="24" fillId="13" borderId="3" xfId="1" applyFont="1" applyFill="1" applyBorder="1" applyAlignment="1">
      <alignment horizontal="center" textRotation="90" wrapText="1"/>
    </xf>
    <xf numFmtId="0" fontId="24" fillId="12" borderId="16" xfId="1" quotePrefix="1" applyFont="1" applyFill="1" applyBorder="1" applyAlignment="1">
      <alignment horizontal="center" vertical="center" wrapText="1"/>
    </xf>
    <xf numFmtId="0" fontId="24" fillId="12" borderId="16" xfId="1" applyFont="1" applyFill="1" applyBorder="1" applyAlignment="1">
      <alignment horizontal="center" vertical="center" wrapText="1"/>
    </xf>
    <xf numFmtId="0" fontId="40" fillId="0" borderId="0" xfId="1" applyFont="1"/>
    <xf numFmtId="0" fontId="37" fillId="0" borderId="43" xfId="1" applyFont="1" applyBorder="1" applyAlignment="1" applyProtection="1">
      <alignment vertical="center" wrapText="1"/>
      <protection locked="0"/>
    </xf>
    <xf numFmtId="0" fontId="8" fillId="12" borderId="0" xfId="1" applyFont="1" applyFill="1" applyAlignment="1">
      <alignment horizontal="center" vertical="center" wrapText="1"/>
    </xf>
    <xf numFmtId="0" fontId="37" fillId="0" borderId="43" xfId="1" applyFont="1" applyBorder="1" applyAlignment="1" applyProtection="1">
      <alignment vertical="center"/>
      <protection locked="0"/>
    </xf>
    <xf numFmtId="49" fontId="7" fillId="0" borderId="0" xfId="1" applyNumberFormat="1" applyAlignment="1">
      <alignment horizontal="left" vertical="center"/>
    </xf>
    <xf numFmtId="0" fontId="41" fillId="0" borderId="48" xfId="1" applyFont="1" applyBorder="1" applyAlignment="1" applyProtection="1">
      <alignment vertical="center"/>
      <protection locked="0"/>
    </xf>
    <xf numFmtId="49" fontId="42" fillId="0" borderId="0" xfId="1" applyNumberFormat="1" applyFont="1" applyAlignment="1">
      <alignment horizontal="left"/>
    </xf>
    <xf numFmtId="0" fontId="8" fillId="12" borderId="3" xfId="1" applyFont="1" applyFill="1" applyBorder="1" applyAlignment="1">
      <alignment horizontal="center" vertical="center" wrapText="1"/>
    </xf>
    <xf numFmtId="0" fontId="37" fillId="0" borderId="48" xfId="1" applyFont="1" applyBorder="1" applyAlignment="1" applyProtection="1">
      <alignment vertical="center" wrapText="1"/>
      <protection locked="0"/>
    </xf>
    <xf numFmtId="0" fontId="44" fillId="0" borderId="0" xfId="1" applyFont="1" applyAlignment="1">
      <alignment vertical="center"/>
    </xf>
    <xf numFmtId="0" fontId="8" fillId="0" borderId="0" xfId="1" applyFont="1" applyBorder="1" applyAlignment="1">
      <alignment horizontal="center" vertical="center" wrapText="1"/>
    </xf>
    <xf numFmtId="0" fontId="11" fillId="0" borderId="0" xfId="5" applyFont="1" applyBorder="1" applyAlignment="1" applyProtection="1">
      <alignment horizontal="center" vertical="center"/>
    </xf>
    <xf numFmtId="0" fontId="44" fillId="0" borderId="0" xfId="1" applyFont="1" applyAlignment="1">
      <alignment horizontal="left" vertical="center"/>
    </xf>
    <xf numFmtId="0" fontId="38" fillId="0" borderId="0" xfId="1" applyFont="1" applyAlignment="1">
      <alignment vertical="center"/>
    </xf>
    <xf numFmtId="0" fontId="41" fillId="0" borderId="0" xfId="1" applyFont="1" applyBorder="1" applyAlignment="1" applyProtection="1">
      <alignment vertical="center"/>
      <protection locked="0"/>
    </xf>
    <xf numFmtId="0" fontId="45" fillId="0" borderId="0" xfId="1" applyFont="1"/>
    <xf numFmtId="0" fontId="40" fillId="0" borderId="0" xfId="1" applyFont="1" applyBorder="1" applyAlignment="1"/>
    <xf numFmtId="0" fontId="7" fillId="0" borderId="0" xfId="1" applyFont="1" applyBorder="1"/>
    <xf numFmtId="0" fontId="11" fillId="0" borderId="0" xfId="1" applyFont="1" applyBorder="1" applyAlignment="1">
      <alignment vertical="center"/>
    </xf>
    <xf numFmtId="0" fontId="11" fillId="0" borderId="7" xfId="1" applyFont="1" applyBorder="1" applyAlignment="1">
      <alignment vertical="center"/>
    </xf>
    <xf numFmtId="0" fontId="24" fillId="12" borderId="3" xfId="1" applyFont="1" applyFill="1" applyBorder="1" applyAlignment="1">
      <alignment horizontal="center"/>
    </xf>
    <xf numFmtId="0" fontId="24" fillId="12" borderId="3" xfId="1" quotePrefix="1" applyFont="1" applyFill="1" applyBorder="1" applyAlignment="1">
      <alignment horizontal="center" vertical="center" wrapText="1"/>
    </xf>
    <xf numFmtId="0" fontId="7" fillId="0" borderId="3" xfId="1" applyFont="1" applyBorder="1"/>
    <xf numFmtId="8" fontId="7" fillId="0" borderId="3" xfId="1" applyNumberFormat="1" applyFont="1" applyBorder="1"/>
    <xf numFmtId="0" fontId="7" fillId="0" borderId="0" xfId="1" applyFont="1" applyAlignment="1"/>
    <xf numFmtId="0" fontId="8" fillId="21" borderId="3" xfId="1" applyFont="1" applyFill="1" applyBorder="1" applyAlignment="1"/>
    <xf numFmtId="0" fontId="8" fillId="21" borderId="3" xfId="1" applyFont="1" applyFill="1" applyBorder="1" applyAlignment="1">
      <alignment horizontal="center"/>
    </xf>
    <xf numFmtId="0" fontId="7" fillId="0" borderId="31" xfId="1" applyFont="1" applyBorder="1" applyAlignment="1"/>
    <xf numFmtId="0" fontId="11" fillId="0" borderId="45" xfId="1" applyFont="1" applyBorder="1" applyAlignment="1">
      <alignment vertical="center"/>
    </xf>
    <xf numFmtId="0" fontId="7" fillId="0" borderId="45" xfId="1" applyFont="1" applyBorder="1" applyAlignment="1"/>
    <xf numFmtId="0" fontId="7" fillId="0" borderId="44" xfId="1" applyFont="1" applyBorder="1" applyAlignment="1"/>
    <xf numFmtId="0" fontId="7" fillId="0" borderId="41" xfId="1" applyFont="1" applyBorder="1" applyAlignment="1"/>
    <xf numFmtId="0" fontId="40" fillId="0" borderId="0" xfId="1" applyFont="1" applyBorder="1" applyAlignment="1">
      <alignment horizontal="left"/>
    </xf>
    <xf numFmtId="0" fontId="7" fillId="0" borderId="0" xfId="1" applyFont="1" applyBorder="1" applyAlignment="1"/>
    <xf numFmtId="0" fontId="7" fillId="0" borderId="40" xfId="1" applyFont="1" applyBorder="1" applyAlignment="1"/>
    <xf numFmtId="0" fontId="7" fillId="0" borderId="3" xfId="1" applyFont="1" applyBorder="1" applyAlignment="1"/>
    <xf numFmtId="49" fontId="7" fillId="13" borderId="3" xfId="1" applyNumberFormat="1" applyFont="1" applyFill="1" applyBorder="1" applyAlignment="1" applyProtection="1">
      <alignment horizontal="center" vertical="center" wrapText="1"/>
      <protection locked="0"/>
    </xf>
    <xf numFmtId="0" fontId="7" fillId="0" borderId="29" xfId="1" applyFont="1" applyBorder="1" applyAlignment="1"/>
    <xf numFmtId="0" fontId="7" fillId="0" borderId="39" xfId="1" applyFont="1" applyBorder="1" applyAlignment="1"/>
    <xf numFmtId="0" fontId="7" fillId="0" borderId="38" xfId="1" applyFont="1" applyBorder="1" applyAlignment="1"/>
    <xf numFmtId="0" fontId="46" fillId="0" borderId="0" xfId="1" applyFont="1" applyAlignment="1"/>
    <xf numFmtId="171" fontId="23" fillId="22" borderId="3" xfId="1" applyNumberFormat="1" applyFont="1" applyFill="1" applyBorder="1" applyAlignment="1">
      <alignment horizontal="center"/>
    </xf>
    <xf numFmtId="183" fontId="23" fillId="22" borderId="3" xfId="1" applyNumberFormat="1" applyFont="1" applyFill="1" applyBorder="1" applyAlignment="1">
      <alignment horizontal="center"/>
    </xf>
    <xf numFmtId="179" fontId="25" fillId="23" borderId="3" xfId="3" applyNumberFormat="1" applyFont="1" applyFill="1" applyBorder="1" applyAlignment="1" applyProtection="1">
      <alignment horizontal="center" vertical="center"/>
    </xf>
    <xf numFmtId="9" fontId="23" fillId="23" borderId="3" xfId="12" applyFont="1" applyFill="1" applyBorder="1" applyAlignment="1">
      <alignment horizontal="center"/>
    </xf>
    <xf numFmtId="176" fontId="15" fillId="23" borderId="3" xfId="7" applyNumberFormat="1" applyFont="1" applyFill="1" applyBorder="1" applyAlignment="1">
      <alignment horizontal="center" vertical="center" wrapText="1"/>
    </xf>
    <xf numFmtId="173" fontId="19" fillId="23" borderId="3" xfId="7" applyNumberFormat="1" applyFont="1" applyFill="1" applyBorder="1" applyAlignment="1">
      <alignment horizontal="center" vertical="center" wrapText="1"/>
    </xf>
    <xf numFmtId="0" fontId="47" fillId="24" borderId="0" xfId="1" applyFont="1" applyFill="1" applyAlignment="1">
      <alignment horizontal="center"/>
    </xf>
    <xf numFmtId="0" fontId="48" fillId="24" borderId="0" xfId="1" applyFont="1" applyFill="1" applyAlignment="1">
      <alignment horizontal="left"/>
    </xf>
    <xf numFmtId="164" fontId="0" fillId="6" borderId="3" xfId="0" applyNumberFormat="1" applyFill="1" applyBorder="1" applyAlignment="1">
      <alignment horizontal="center" vertical="center"/>
    </xf>
    <xf numFmtId="169" fontId="0" fillId="6" borderId="3" xfId="0" applyNumberFormat="1" applyFill="1" applyBorder="1" applyAlignment="1">
      <alignment horizontal="center" vertical="center"/>
    </xf>
    <xf numFmtId="0" fontId="47" fillId="25" borderId="0" xfId="0" applyFont="1" applyFill="1" applyAlignment="1">
      <alignment horizontal="center"/>
    </xf>
    <xf numFmtId="182" fontId="7" fillId="13" borderId="3" xfId="1" applyNumberFormat="1" applyFill="1" applyBorder="1" applyAlignment="1" applyProtection="1">
      <alignment horizontal="center" vertical="center"/>
      <protection locked="0"/>
    </xf>
    <xf numFmtId="182" fontId="7" fillId="22" borderId="3" xfId="1" applyNumberFormat="1" applyFill="1" applyBorder="1" applyAlignment="1" applyProtection="1">
      <alignment horizontal="center" vertical="center"/>
      <protection locked="0"/>
    </xf>
    <xf numFmtId="182" fontId="0" fillId="13" borderId="3" xfId="12" applyNumberFormat="1" applyFont="1" applyFill="1" applyBorder="1" applyAlignment="1" applyProtection="1">
      <alignment horizontal="center" vertical="center"/>
      <protection locked="0"/>
    </xf>
    <xf numFmtId="182" fontId="0" fillId="22" borderId="3" xfId="12" applyNumberFormat="1" applyFont="1" applyFill="1" applyBorder="1" applyAlignment="1" applyProtection="1">
      <alignment horizontal="center" vertical="center"/>
      <protection locked="0"/>
    </xf>
    <xf numFmtId="0" fontId="7" fillId="12" borderId="6" xfId="1" applyFill="1" applyBorder="1" applyAlignment="1">
      <alignment horizontal="center"/>
    </xf>
    <xf numFmtId="49" fontId="5"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0" fontId="8" fillId="12" borderId="23" xfId="1" applyFont="1" applyFill="1" applyBorder="1" applyAlignment="1">
      <alignment horizontal="center" vertical="center" wrapText="1"/>
    </xf>
    <xf numFmtId="0" fontId="8" fillId="12" borderId="22" xfId="1" applyFont="1" applyFill="1" applyBorder="1" applyAlignment="1">
      <alignment horizontal="center" vertical="center" wrapText="1"/>
    </xf>
    <xf numFmtId="0" fontId="50" fillId="21" borderId="3" xfId="287" applyFill="1" applyBorder="1" applyAlignment="1" applyProtection="1">
      <alignment horizontal="center" vertical="center"/>
    </xf>
    <xf numFmtId="49" fontId="0" fillId="0" borderId="0" xfId="0" applyNumberFormat="1"/>
    <xf numFmtId="0" fontId="3" fillId="0" borderId="1" xfId="0" applyFont="1" applyBorder="1" applyProtection="1">
      <protection locked="0"/>
    </xf>
    <xf numFmtId="187" fontId="51" fillId="3" borderId="0" xfId="0" applyNumberFormat="1" applyFont="1" applyFill="1" applyAlignment="1" applyProtection="1">
      <alignment horizontal="center"/>
      <protection locked="0"/>
    </xf>
    <xf numFmtId="188" fontId="51" fillId="4" borderId="0" xfId="0" applyNumberFormat="1" applyFont="1" applyFill="1" applyAlignment="1">
      <alignment horizontal="center"/>
    </xf>
    <xf numFmtId="188" fontId="51" fillId="3" borderId="0" xfId="0" applyNumberFormat="1" applyFont="1" applyFill="1" applyAlignment="1" applyProtection="1">
      <alignment horizontal="center"/>
      <protection locked="0"/>
    </xf>
    <xf numFmtId="49" fontId="4" fillId="0" borderId="0" xfId="0" applyNumberFormat="1" applyFont="1"/>
    <xf numFmtId="49" fontId="0" fillId="0" borderId="2" xfId="0" applyNumberFormat="1" applyBorder="1" applyAlignment="1">
      <alignment horizontal="centerContinuous" wrapText="1"/>
    </xf>
    <xf numFmtId="49" fontId="0" fillId="0" borderId="0" xfId="0" applyNumberFormat="1" applyAlignment="1">
      <alignment horizontal="left"/>
    </xf>
    <xf numFmtId="187" fontId="51" fillId="4" borderId="0" xfId="0" applyNumberFormat="1" applyFont="1" applyFill="1" applyAlignment="1">
      <alignment horizontal="center"/>
    </xf>
    <xf numFmtId="188" fontId="51" fillId="5" borderId="0" xfId="0" applyNumberFormat="1" applyFont="1" applyFill="1" applyAlignment="1">
      <alignment horizontal="center"/>
    </xf>
    <xf numFmtId="188" fontId="51" fillId="6" borderId="0" xfId="0" applyNumberFormat="1" applyFont="1" applyFill="1" applyAlignment="1">
      <alignment horizontal="center"/>
    </xf>
    <xf numFmtId="187" fontId="51" fillId="5" borderId="0" xfId="0" applyNumberFormat="1" applyFont="1" applyFill="1" applyAlignment="1">
      <alignment horizontal="center"/>
    </xf>
    <xf numFmtId="187" fontId="51" fillId="6" borderId="0" xfId="0" applyNumberFormat="1" applyFont="1" applyFill="1" applyAlignment="1">
      <alignment horizontal="center"/>
    </xf>
    <xf numFmtId="189" fontId="51" fillId="5" borderId="0" xfId="0" applyNumberFormat="1" applyFont="1" applyFill="1" applyAlignment="1">
      <alignment horizontal="center"/>
    </xf>
    <xf numFmtId="190" fontId="51" fillId="5" borderId="0" xfId="0" applyNumberFormat="1" applyFont="1" applyFill="1" applyAlignment="1">
      <alignment horizontal="center"/>
    </xf>
    <xf numFmtId="190" fontId="51" fillId="6" borderId="0" xfId="0" applyNumberFormat="1" applyFont="1" applyFill="1" applyAlignment="1">
      <alignment horizontal="center"/>
    </xf>
    <xf numFmtId="0" fontId="0" fillId="0" borderId="0" xfId="7" applyFont="1" applyAlignment="1">
      <alignment vertical="center"/>
    </xf>
    <xf numFmtId="174" fontId="16" fillId="10" borderId="3" xfId="7" applyNumberFormat="1" applyFont="1" applyFill="1" applyBorder="1" applyAlignment="1">
      <alignment horizontal="left" vertical="center" wrapText="1"/>
    </xf>
    <xf numFmtId="176" fontId="18" fillId="0" borderId="3" xfId="7" applyNumberFormat="1" applyFont="1" applyBorder="1" applyAlignment="1">
      <alignment horizontal="center" vertical="center" wrapText="1"/>
    </xf>
    <xf numFmtId="172" fontId="18" fillId="0" borderId="3" xfId="7" applyNumberFormat="1" applyFont="1" applyBorder="1" applyAlignment="1">
      <alignment horizontal="left" vertical="center" wrapText="1"/>
    </xf>
    <xf numFmtId="191" fontId="2" fillId="2" borderId="0" xfId="0" applyNumberFormat="1" applyFont="1" applyFill="1" applyAlignment="1">
      <alignment horizontal="center" wrapText="1"/>
    </xf>
    <xf numFmtId="191" fontId="2" fillId="2" borderId="0" xfId="0" applyNumberFormat="1" applyFont="1" applyFill="1" applyAlignment="1">
      <alignment horizontal="left" wrapText="1"/>
    </xf>
    <xf numFmtId="192" fontId="51" fillId="3" borderId="0" xfId="0" applyNumberFormat="1" applyFont="1" applyFill="1" applyAlignment="1" applyProtection="1">
      <alignment horizontal="center" wrapText="1"/>
      <protection locked="0"/>
    </xf>
    <xf numFmtId="192" fontId="51" fillId="4" borderId="0" xfId="0" applyNumberFormat="1" applyFont="1" applyFill="1" applyAlignment="1">
      <alignment horizontal="center" wrapText="1"/>
    </xf>
    <xf numFmtId="191" fontId="5" fillId="2" borderId="0" xfId="0" applyNumberFormat="1" applyFont="1" applyFill="1" applyAlignment="1">
      <alignment horizontal="left" wrapText="1"/>
    </xf>
    <xf numFmtId="193" fontId="51" fillId="5" borderId="0" xfId="0" applyNumberFormat="1" applyFont="1" applyFill="1" applyAlignment="1">
      <alignment horizontal="center"/>
    </xf>
    <xf numFmtId="191" fontId="51" fillId="0" borderId="0" xfId="0" applyNumberFormat="1" applyFont="1" applyAlignment="1" applyProtection="1">
      <alignment horizontal="left" wrapText="1"/>
      <protection locked="0"/>
    </xf>
    <xf numFmtId="191" fontId="0" fillId="8" borderId="0" xfId="0" applyNumberFormat="1" applyFill="1" applyAlignment="1">
      <alignment horizontal="center"/>
    </xf>
    <xf numFmtId="191" fontId="0" fillId="7" borderId="0" xfId="0" applyNumberFormat="1" applyFill="1" applyAlignment="1" applyProtection="1">
      <alignment horizontal="center"/>
      <protection locked="0"/>
    </xf>
    <xf numFmtId="193" fontId="51" fillId="3" borderId="0" xfId="0" applyNumberFormat="1" applyFont="1" applyFill="1" applyAlignment="1" applyProtection="1">
      <alignment horizontal="center"/>
      <protection locked="0"/>
    </xf>
    <xf numFmtId="194" fontId="51" fillId="3" borderId="0" xfId="0" applyNumberFormat="1" applyFont="1" applyFill="1" applyAlignment="1" applyProtection="1">
      <alignment horizontal="center"/>
      <protection locked="0"/>
    </xf>
    <xf numFmtId="191" fontId="5" fillId="2" borderId="2" xfId="0" applyNumberFormat="1" applyFont="1" applyFill="1" applyBorder="1" applyAlignment="1">
      <alignment horizontal="centerContinuous" wrapText="1"/>
    </xf>
    <xf numFmtId="191" fontId="5" fillId="2" borderId="0" xfId="0" applyNumberFormat="1" applyFont="1" applyFill="1" applyAlignment="1">
      <alignment horizontal="left"/>
    </xf>
    <xf numFmtId="193" fontId="51" fillId="4" borderId="0" xfId="0" applyNumberFormat="1" applyFont="1" applyFill="1" applyAlignment="1">
      <alignment horizontal="center"/>
    </xf>
    <xf numFmtId="193" fontId="51" fillId="6" borderId="0" xfId="0" applyNumberFormat="1" applyFont="1" applyFill="1" applyAlignment="1">
      <alignment horizontal="center"/>
    </xf>
    <xf numFmtId="194" fontId="51" fillId="5" borderId="0" xfId="0" applyNumberFormat="1" applyFont="1" applyFill="1" applyAlignment="1">
      <alignment horizontal="center"/>
    </xf>
    <xf numFmtId="0" fontId="8" fillId="12" borderId="49" xfId="1" applyFont="1" applyFill="1" applyBorder="1" applyAlignment="1">
      <alignment horizontal="center" vertical="center" wrapText="1"/>
    </xf>
    <xf numFmtId="0" fontId="8" fillId="12" borderId="50" xfId="1" applyFont="1" applyFill="1" applyBorder="1" applyAlignment="1">
      <alignment horizontal="center" vertical="center" wrapText="1"/>
    </xf>
    <xf numFmtId="0" fontId="8" fillId="12" borderId="15" xfId="1" applyFont="1" applyFill="1" applyBorder="1" applyAlignment="1">
      <alignment horizontal="center" vertical="center" wrapText="1"/>
    </xf>
    <xf numFmtId="191" fontId="51" fillId="0" borderId="3" xfId="0" applyNumberFormat="1" applyFont="1" applyBorder="1" applyAlignment="1" applyProtection="1">
      <alignment horizontal="left" wrapText="1"/>
      <protection locked="0"/>
    </xf>
    <xf numFmtId="187" fontId="51" fillId="3" borderId="3" xfId="0" applyNumberFormat="1" applyFont="1" applyFill="1" applyBorder="1" applyAlignment="1" applyProtection="1">
      <alignment horizontal="center"/>
      <protection locked="0"/>
    </xf>
    <xf numFmtId="191" fontId="0" fillId="7" borderId="3" xfId="0" applyNumberFormat="1" applyFill="1" applyBorder="1" applyAlignment="1" applyProtection="1">
      <alignment horizontal="center"/>
      <protection locked="0"/>
    </xf>
    <xf numFmtId="191" fontId="2" fillId="2" borderId="3" xfId="0" applyNumberFormat="1" applyFont="1" applyFill="1" applyBorder="1" applyAlignment="1">
      <alignment horizontal="left" wrapText="1"/>
    </xf>
    <xf numFmtId="0" fontId="7" fillId="0" borderId="6" xfId="1" applyBorder="1" applyAlignment="1">
      <alignment horizontal="left" vertical="center" wrapText="1"/>
    </xf>
    <xf numFmtId="0" fontId="7" fillId="0" borderId="5" xfId="1" applyBorder="1" applyAlignment="1">
      <alignment horizontal="left" vertical="center" wrapText="1"/>
    </xf>
    <xf numFmtId="0" fontId="7" fillId="0" borderId="4" xfId="1" applyBorder="1" applyAlignment="1">
      <alignment horizontal="left" vertical="center" wrapText="1"/>
    </xf>
    <xf numFmtId="0" fontId="7" fillId="0" borderId="3" xfId="1" applyBorder="1" applyAlignment="1">
      <alignment horizontal="left" vertical="center" wrapText="1"/>
    </xf>
    <xf numFmtId="0" fontId="7" fillId="0" borderId="14" xfId="1" applyBorder="1" applyAlignment="1">
      <alignment vertical="center" wrapText="1"/>
    </xf>
    <xf numFmtId="0" fontId="7" fillId="0" borderId="13" xfId="1" applyBorder="1" applyAlignment="1">
      <alignment vertical="center" wrapText="1"/>
    </xf>
    <xf numFmtId="0" fontId="7" fillId="0" borderId="12" xfId="1" applyBorder="1" applyAlignment="1">
      <alignment vertical="center" wrapText="1"/>
    </xf>
    <xf numFmtId="0" fontId="7" fillId="0" borderId="11" xfId="1" applyBorder="1" applyAlignment="1">
      <alignment vertical="center" wrapText="1"/>
    </xf>
    <xf numFmtId="0" fontId="7" fillId="0" borderId="0" xfId="1" applyBorder="1" applyAlignment="1">
      <alignment vertical="center" wrapText="1"/>
    </xf>
    <xf numFmtId="0" fontId="7" fillId="0" borderId="10" xfId="1" applyBorder="1" applyAlignment="1">
      <alignment vertical="center" wrapText="1"/>
    </xf>
    <xf numFmtId="0" fontId="7" fillId="0" borderId="9" xfId="1" applyBorder="1" applyAlignment="1">
      <alignment vertical="center" wrapText="1"/>
    </xf>
    <xf numFmtId="0" fontId="7" fillId="0" borderId="8" xfId="1" applyBorder="1" applyAlignment="1">
      <alignment vertical="center" wrapText="1"/>
    </xf>
    <xf numFmtId="0" fontId="7" fillId="0" borderId="7" xfId="1" applyBorder="1" applyAlignment="1">
      <alignment vertical="center" wrapText="1"/>
    </xf>
    <xf numFmtId="0" fontId="8" fillId="0" borderId="3" xfId="1" applyFont="1" applyBorder="1" applyAlignment="1">
      <alignment horizontal="left" vertical="center"/>
    </xf>
    <xf numFmtId="0" fontId="29" fillId="13" borderId="3" xfId="1" applyFont="1" applyFill="1" applyBorder="1" applyAlignment="1">
      <alignment horizontal="center"/>
    </xf>
    <xf numFmtId="15" fontId="29" fillId="13" borderId="6" xfId="1" applyNumberFormat="1" applyFont="1" applyFill="1" applyBorder="1" applyAlignment="1">
      <alignment horizontal="center"/>
    </xf>
    <xf numFmtId="15" fontId="29" fillId="13" borderId="4" xfId="1" applyNumberFormat="1" applyFont="1" applyFill="1" applyBorder="1" applyAlignment="1">
      <alignment horizontal="center"/>
    </xf>
    <xf numFmtId="0" fontId="24" fillId="12" borderId="3" xfId="1" applyFont="1" applyFill="1" applyBorder="1" applyAlignment="1">
      <alignment horizontal="center" vertical="center" wrapText="1"/>
    </xf>
    <xf numFmtId="0" fontId="15" fillId="0" borderId="16" xfId="7" applyFont="1" applyBorder="1" applyAlignment="1">
      <alignment horizontal="left" vertical="center" wrapText="1"/>
    </xf>
    <xf numFmtId="0" fontId="15" fillId="0" borderId="2" xfId="7" applyFont="1" applyBorder="1" applyAlignment="1">
      <alignment horizontal="left" vertical="center" wrapText="1"/>
    </xf>
    <xf numFmtId="0" fontId="15" fillId="0" borderId="15" xfId="7" applyFont="1" applyBorder="1" applyAlignment="1">
      <alignment horizontal="left" vertical="center" wrapText="1"/>
    </xf>
    <xf numFmtId="0" fontId="2" fillId="19" borderId="27" xfId="7" applyFont="1" applyFill="1" applyBorder="1" applyAlignment="1">
      <alignment horizontal="center" vertical="center" wrapText="1"/>
    </xf>
    <xf numFmtId="0" fontId="2" fillId="19" borderId="26" xfId="7" applyFont="1" applyFill="1" applyBorder="1" applyAlignment="1">
      <alignment horizontal="center" vertical="center" wrapText="1"/>
    </xf>
    <xf numFmtId="0" fontId="2" fillId="19" borderId="25" xfId="7" applyFont="1" applyFill="1" applyBorder="1" applyAlignment="1">
      <alignment horizontal="center" vertical="center" wrapText="1"/>
    </xf>
    <xf numFmtId="0" fontId="29" fillId="13" borderId="6" xfId="1" applyFont="1" applyFill="1" applyBorder="1" applyAlignment="1">
      <alignment horizontal="center"/>
    </xf>
    <xf numFmtId="0" fontId="29" fillId="13" borderId="5" xfId="1" applyFont="1" applyFill="1" applyBorder="1" applyAlignment="1">
      <alignment horizontal="center"/>
    </xf>
    <xf numFmtId="0" fontId="29" fillId="13" borderId="4" xfId="1" applyFont="1" applyFill="1" applyBorder="1" applyAlignment="1">
      <alignment horizontal="center"/>
    </xf>
    <xf numFmtId="0" fontId="6" fillId="19" borderId="26" xfId="7" applyFill="1" applyBorder="1" applyAlignment="1">
      <alignment horizontal="center" vertical="center" wrapText="1"/>
    </xf>
    <xf numFmtId="0" fontId="6" fillId="19" borderId="25" xfId="7" applyFill="1" applyBorder="1" applyAlignment="1">
      <alignment horizontal="center" vertical="center" wrapText="1"/>
    </xf>
    <xf numFmtId="0" fontId="29" fillId="13" borderId="9" xfId="1" applyFont="1" applyFill="1" applyBorder="1" applyAlignment="1">
      <alignment horizontal="center"/>
    </xf>
    <xf numFmtId="0" fontId="29" fillId="13" borderId="7" xfId="1" applyFont="1" applyFill="1" applyBorder="1" applyAlignment="1">
      <alignment horizontal="center"/>
    </xf>
    <xf numFmtId="0" fontId="6" fillId="19" borderId="14" xfId="7" applyFill="1" applyBorder="1" applyAlignment="1">
      <alignment vertical="center"/>
    </xf>
    <xf numFmtId="0" fontId="6" fillId="19" borderId="9" xfId="7" applyFill="1" applyBorder="1" applyAlignment="1">
      <alignment vertical="center"/>
    </xf>
    <xf numFmtId="0" fontId="6" fillId="19" borderId="28" xfId="7" applyFill="1" applyBorder="1" applyAlignment="1">
      <alignment vertical="center"/>
    </xf>
    <xf numFmtId="0" fontId="6" fillId="19" borderId="24" xfId="7" applyFill="1" applyBorder="1" applyAlignment="1">
      <alignment vertical="center"/>
    </xf>
    <xf numFmtId="0" fontId="6" fillId="19" borderId="31" xfId="7" applyFill="1" applyBorder="1" applyAlignment="1">
      <alignment vertical="center"/>
    </xf>
    <xf numFmtId="0" fontId="6" fillId="19" borderId="30" xfId="7" applyFill="1" applyBorder="1" applyAlignment="1">
      <alignment vertical="center"/>
    </xf>
    <xf numFmtId="0" fontId="7" fillId="0" borderId="37" xfId="1" applyBorder="1" applyAlignment="1">
      <alignment horizontal="center"/>
    </xf>
    <xf numFmtId="0" fontId="7" fillId="0" borderId="36" xfId="1" applyBorder="1" applyAlignment="1">
      <alignment horizontal="center"/>
    </xf>
    <xf numFmtId="0" fontId="7" fillId="0" borderId="42" xfId="1" applyBorder="1" applyAlignment="1">
      <alignment horizontal="center"/>
    </xf>
    <xf numFmtId="0" fontId="7" fillId="0" borderId="27" xfId="1" applyBorder="1" applyAlignment="1">
      <alignment horizontal="center"/>
    </xf>
    <xf numFmtId="0" fontId="7" fillId="0" borderId="26" xfId="1" applyBorder="1" applyAlignment="1">
      <alignment horizontal="center"/>
    </xf>
    <xf numFmtId="0" fontId="7" fillId="0" borderId="25" xfId="1" applyBorder="1" applyAlignment="1">
      <alignment horizontal="center"/>
    </xf>
    <xf numFmtId="0" fontId="39" fillId="0" borderId="51" xfId="1" applyFont="1" applyBorder="1" applyAlignment="1">
      <alignment horizontal="center"/>
    </xf>
    <xf numFmtId="0" fontId="39" fillId="0" borderId="52" xfId="1" applyFont="1" applyBorder="1" applyAlignment="1">
      <alignment horizontal="center"/>
    </xf>
    <xf numFmtId="0" fontId="39" fillId="0" borderId="53" xfId="1" applyFont="1" applyBorder="1" applyAlignment="1">
      <alignment horizontal="center"/>
    </xf>
    <xf numFmtId="0" fontId="39" fillId="0" borderId="31" xfId="1" applyFont="1" applyBorder="1" applyAlignment="1">
      <alignment horizontal="center"/>
    </xf>
    <xf numFmtId="0" fontId="39" fillId="0" borderId="45" xfId="1" applyFont="1" applyBorder="1" applyAlignment="1">
      <alignment horizontal="center"/>
    </xf>
    <xf numFmtId="0" fontId="39" fillId="0" borderId="44" xfId="1" applyFont="1" applyBorder="1" applyAlignment="1">
      <alignment horizontal="center"/>
    </xf>
    <xf numFmtId="0" fontId="7" fillId="12" borderId="27" xfId="1" applyFill="1" applyBorder="1" applyAlignment="1">
      <alignment horizontal="center"/>
    </xf>
    <xf numFmtId="0" fontId="7" fillId="12" borderId="26" xfId="1" applyFill="1" applyBorder="1" applyAlignment="1">
      <alignment horizontal="center"/>
    </xf>
    <xf numFmtId="0" fontId="7" fillId="12" borderId="25" xfId="1" applyFill="1" applyBorder="1" applyAlignment="1">
      <alignment horizontal="center"/>
    </xf>
    <xf numFmtId="0" fontId="7" fillId="12" borderId="20" xfId="1" applyFill="1" applyBorder="1" applyAlignment="1">
      <alignment horizontal="center"/>
    </xf>
    <xf numFmtId="0" fontId="7" fillId="12" borderId="47" xfId="1" applyFill="1" applyBorder="1" applyAlignment="1">
      <alignment horizontal="center"/>
    </xf>
    <xf numFmtId="0" fontId="7" fillId="12" borderId="46" xfId="1" applyFill="1" applyBorder="1" applyAlignment="1">
      <alignment horizontal="center"/>
    </xf>
    <xf numFmtId="0" fontId="7" fillId="12" borderId="37" xfId="1" applyFill="1" applyBorder="1" applyAlignment="1">
      <alignment horizontal="center"/>
    </xf>
    <xf numFmtId="0" fontId="7" fillId="12" borderId="36" xfId="1" applyFill="1" applyBorder="1" applyAlignment="1">
      <alignment horizontal="center"/>
    </xf>
    <xf numFmtId="0" fontId="7" fillId="12" borderId="42" xfId="1" applyFill="1" applyBorder="1" applyAlignment="1">
      <alignment horizontal="center"/>
    </xf>
    <xf numFmtId="0" fontId="24" fillId="13" borderId="16"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13" borderId="15" xfId="1" applyFont="1" applyFill="1" applyBorder="1" applyAlignment="1">
      <alignment horizontal="center" vertical="center" wrapText="1"/>
    </xf>
    <xf numFmtId="0" fontId="24" fillId="12" borderId="6" xfId="1" quotePrefix="1" applyFont="1" applyFill="1" applyBorder="1" applyAlignment="1">
      <alignment horizontal="center" vertical="center" wrapText="1"/>
    </xf>
    <xf numFmtId="0" fontId="24" fillId="12" borderId="4" xfId="1" quotePrefix="1" applyFont="1" applyFill="1" applyBorder="1" applyAlignment="1">
      <alignment horizontal="center" vertical="center" wrapText="1"/>
    </xf>
    <xf numFmtId="0" fontId="24" fillId="12" borderId="5" xfId="1" quotePrefix="1" applyFont="1" applyFill="1" applyBorder="1" applyAlignment="1">
      <alignment horizontal="center" vertical="center" wrapText="1"/>
    </xf>
    <xf numFmtId="0" fontId="8" fillId="0" borderId="3" xfId="1" applyFont="1" applyBorder="1" applyAlignment="1">
      <alignment horizontal="center" vertical="center" wrapText="1"/>
    </xf>
  </cellXfs>
  <cellStyles count="304">
    <cellStyle name="=C:\WINNT\SYSTEM32\COMMAND.COM" xfId="2"/>
    <cellStyle name="Comma 2" xfId="3"/>
    <cellStyle name="Comma 3" xfId="4"/>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Hyperlink" xfId="287" builtinId="8"/>
    <cellStyle name="Hyperlink 2" xfId="5"/>
    <cellStyle name="Normal" xfId="0" builtinId="0"/>
    <cellStyle name="Normal 2" xfId="1"/>
    <cellStyle name="Normal 2 2" xfId="6"/>
    <cellStyle name="Normal 3" xfId="7"/>
    <cellStyle name="Normal 3 2" xfId="8"/>
    <cellStyle name="Normal 4" xfId="9"/>
    <cellStyle name="Normal 5" xfId="10"/>
    <cellStyle name="Normal_Generation" xfId="11"/>
    <cellStyle name="Percent 2" xfId="12"/>
    <cellStyle name="Percent 3" xfId="13"/>
    <cellStyle name="Percent 4" xfId="14"/>
  </cellStyles>
  <dxfs count="0"/>
  <tableStyles count="0" defaultTableStyle="TableStyleMedium9" defaultPivotStyle="PivotStyleLight16"/>
  <colors>
    <mruColors>
      <color rgb="FFE9E9E9"/>
      <color rgb="FF999999"/>
      <color rgb="FF0066CC"/>
      <color rgb="FFFF6633"/>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142875</xdr:rowOff>
    </xdr:from>
    <xdr:to>
      <xdr:col>1</xdr:col>
      <xdr:colOff>4581525</xdr:colOff>
      <xdr:row>28</xdr:row>
      <xdr:rowOff>85725</xdr:rowOff>
    </xdr:to>
    <xdr:sp macro="" textlink="">
      <xdr:nvSpPr>
        <xdr:cNvPr id="2" name="Text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673100" y="1285875"/>
          <a:ext cx="669925" cy="3143250"/>
        </a:xfrm>
        <a:prstGeom prst="rect">
          <a:avLst/>
        </a:prstGeom>
        <a:solidFill>
          <a:srgbClr val="FFFFFF"/>
        </a:solidFill>
        <a:ln w="9525">
          <a:solidFill>
            <a:srgbClr val="BCBCBC"/>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262486</xdr:colOff>
      <xdr:row>8</xdr:row>
      <xdr:rowOff>0</xdr:rowOff>
    </xdr:from>
    <xdr:ext cx="4284114" cy="969818"/>
    <xdr:sp macro="[0]!RunARP" textlink="">
      <xdr:nvSpPr>
        <xdr:cNvPr id="3" name="Rectangle 25">
          <a:extLst>
            <a:ext uri="{FF2B5EF4-FFF2-40B4-BE49-F238E27FC236}">
              <a16:creationId xmlns:a16="http://schemas.microsoft.com/office/drawing/2014/main" xmlns="" id="{00000000-0008-0000-0D00-000003000000}"/>
            </a:ext>
          </a:extLst>
        </xdr:cNvPr>
        <xdr:cNvSpPr>
          <a:spLocks noChangeArrowheads="1"/>
        </xdr:cNvSpPr>
      </xdr:nvSpPr>
      <xdr:spPr bwMode="auto">
        <a:xfrm>
          <a:off x="7552286" y="1866900"/>
          <a:ext cx="4284114" cy="96981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noAutofit/>
        </a:bodyPr>
        <a:lstStyle/>
        <a:p>
          <a:pPr algn="ctr" rtl="0">
            <a:defRPr sz="1000"/>
          </a:pPr>
          <a:endParaRPr lang="en-GB" sz="1000" b="0" i="0" u="none" strike="noStrike" baseline="0">
            <a:solidFill>
              <a:srgbClr val="000000"/>
            </a:solidFill>
            <a:latin typeface="Arial"/>
            <a:cs typeface="Arial"/>
          </a:endParaRPr>
        </a:p>
        <a:p>
          <a:pPr algn="ctr" rtl="0">
            <a:defRPr sz="1000"/>
          </a:pPr>
          <a:r>
            <a:rPr lang="en-GB" sz="2000" b="0" i="0" u="none" strike="noStrike" baseline="0">
              <a:solidFill>
                <a:srgbClr val="000000"/>
              </a:solidFill>
              <a:latin typeface="Arial"/>
              <a:cs typeface="Arial"/>
            </a:rPr>
            <a:t>Press to update</a:t>
          </a:r>
        </a:p>
        <a:p>
          <a:pPr algn="ctr" rtl="0">
            <a:defRPr sz="1000"/>
          </a:pPr>
          <a:r>
            <a:rPr lang="en-GB" sz="2000" b="0" i="0" u="none" strike="noStrike" baseline="0">
              <a:solidFill>
                <a:srgbClr val="000000"/>
              </a:solidFill>
              <a:latin typeface="Arial"/>
              <a:cs typeface="Arial"/>
            </a:rPr>
            <a:t>Tariffs and "Typical Bills"</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DCM%20AR%20Pack%20v4%20r09Nov10%20with%20tariff%20update%20EP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Apr18/ARP/April%2018%20ARPs/ARP%20_%2001%20April%202018%20Pre-Release%20-%20SWE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vApr18/ARP/April%2018%20ARPs%20fixed%20by%20WPD/ARP%20_%2001%20April%202018%20Pre-Release%20-%20SW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s"/>
      <sheetName val="Overview"/>
      <sheetName val="Commentary"/>
      <sheetName val="CDCM Forecast Data"/>
      <sheetName val="Mat of App"/>
      <sheetName val="CDCM Volume Forecasts"/>
      <sheetName val="CDCM Timebands"/>
      <sheetName val="(Y)"/>
      <sheetName val="(Y+1)"/>
      <sheetName val="(Y+2)"/>
      <sheetName val="(Y+3)"/>
      <sheetName val="(Y+4)"/>
      <sheetName val="DNO Checklist"/>
      <sheetName val="Vlookup"/>
      <sheetName val="Application Refs"/>
    </sheetNames>
    <sheetDataSet>
      <sheetData sheetId="0">
        <row r="21">
          <cell r="D21" t="str">
            <v>011, 041, 441, 511</v>
          </cell>
          <cell r="E21">
            <v>1</v>
          </cell>
          <cell r="L21">
            <v>541</v>
          </cell>
        </row>
        <row r="22">
          <cell r="D22" t="str">
            <v xml:space="preserve">031, 051, 061, 451, 531 </v>
          </cell>
          <cell r="E22">
            <v>2</v>
          </cell>
          <cell r="L22" t="str">
            <v>421, 501, 551, 561, 621, 651</v>
          </cell>
        </row>
        <row r="23">
          <cell r="D23" t="str">
            <v>081, 581</v>
          </cell>
          <cell r="E23">
            <v>2</v>
          </cell>
          <cell r="L23" t="str">
            <v>071, 101, 111, 571, 601, 611</v>
          </cell>
        </row>
        <row r="24">
          <cell r="D24" t="str">
            <v>131, 191, 631</v>
          </cell>
          <cell r="E24">
            <v>3</v>
          </cell>
          <cell r="L24">
            <v>691</v>
          </cell>
        </row>
        <row r="25">
          <cell r="D25" t="str">
            <v>161, 171, 661</v>
          </cell>
          <cell r="E25">
            <v>4</v>
          </cell>
          <cell r="L25" t="str">
            <v>181, 671, 681</v>
          </cell>
        </row>
        <row r="26">
          <cell r="D26" t="str">
            <v>091, 591</v>
          </cell>
          <cell r="E26">
            <v>4</v>
          </cell>
          <cell r="L26" t="str">
            <v>071, 101,111, 571, 601, 611</v>
          </cell>
        </row>
        <row r="27">
          <cell r="D27" t="str">
            <v>241, 431, 481, 751</v>
          </cell>
          <cell r="E27" t="str">
            <v>5-8</v>
          </cell>
          <cell r="L27" t="str">
            <v>201, 211, 221, 231, 431, 701, 711</v>
          </cell>
        </row>
        <row r="28">
          <cell r="D28" t="str">
            <v>242, 432, 482, 752</v>
          </cell>
          <cell r="E28" t="str">
            <v>5-8</v>
          </cell>
          <cell r="L28" t="str">
            <v>202, 212, 222, 432, 702, 712</v>
          </cell>
        </row>
        <row r="29">
          <cell r="D29" t="str">
            <v>483, 753</v>
          </cell>
          <cell r="E29" t="str">
            <v>5-8</v>
          </cell>
          <cell r="L29" t="str">
            <v>203, 213, 223, 703, 713</v>
          </cell>
        </row>
        <row r="30">
          <cell r="D30">
            <v>801</v>
          </cell>
          <cell r="E30">
            <v>0</v>
          </cell>
          <cell r="L30">
            <v>251271401</v>
          </cell>
        </row>
        <row r="31">
          <cell r="D31">
            <v>802</v>
          </cell>
          <cell r="E31">
            <v>0</v>
          </cell>
          <cell r="L31">
            <v>252272402</v>
          </cell>
        </row>
        <row r="32">
          <cell r="D32">
            <v>803</v>
          </cell>
          <cell r="E32">
            <v>0</v>
          </cell>
          <cell r="L32" t="str">
            <v>253, 413</v>
          </cell>
        </row>
        <row r="33">
          <cell r="D33">
            <v>804</v>
          </cell>
          <cell r="E33">
            <v>0</v>
          </cell>
          <cell r="L33" t="str">
            <v>384, 404</v>
          </cell>
        </row>
        <row r="34">
          <cell r="D34">
            <v>721</v>
          </cell>
          <cell r="E34" t="str">
            <v>1&amp;8</v>
          </cell>
          <cell r="L34">
            <v>341351371381</v>
          </cell>
        </row>
        <row r="35">
          <cell r="D35">
            <v>811</v>
          </cell>
          <cell r="E35">
            <v>0</v>
          </cell>
          <cell r="L35">
            <v>351</v>
          </cell>
        </row>
        <row r="36">
          <cell r="D36">
            <v>961</v>
          </cell>
          <cell r="E36">
            <v>8</v>
          </cell>
          <cell r="L36">
            <v>911921931941</v>
          </cell>
        </row>
        <row r="37">
          <cell r="D37">
            <v>962</v>
          </cell>
          <cell r="E37">
            <v>8</v>
          </cell>
          <cell r="L37">
            <v>0</v>
          </cell>
        </row>
        <row r="38">
          <cell r="D38">
            <v>971</v>
          </cell>
          <cell r="E38">
            <v>0</v>
          </cell>
          <cell r="L38">
            <v>0</v>
          </cell>
        </row>
        <row r="39">
          <cell r="D39">
            <v>981</v>
          </cell>
          <cell r="E39">
            <v>0</v>
          </cell>
          <cell r="L39">
            <v>0</v>
          </cell>
        </row>
        <row r="40">
          <cell r="D40">
            <v>972</v>
          </cell>
          <cell r="E40">
            <v>0</v>
          </cell>
          <cell r="L40">
            <v>0</v>
          </cell>
        </row>
        <row r="41">
          <cell r="D41">
            <v>982</v>
          </cell>
          <cell r="E41">
            <v>0</v>
          </cell>
          <cell r="L41">
            <v>0</v>
          </cell>
        </row>
        <row r="42">
          <cell r="D42">
            <v>973</v>
          </cell>
          <cell r="E42">
            <v>0</v>
          </cell>
          <cell r="L42">
            <v>0</v>
          </cell>
        </row>
        <row r="43">
          <cell r="D43">
            <v>983</v>
          </cell>
          <cell r="E43">
            <v>0</v>
          </cell>
          <cell r="L43">
            <v>0</v>
          </cell>
        </row>
        <row r="44">
          <cell r="D44">
            <v>984</v>
          </cell>
          <cell r="E44">
            <v>0</v>
          </cell>
          <cell r="L44">
            <v>0</v>
          </cell>
        </row>
        <row r="45">
          <cell r="D45">
            <v>974</v>
          </cell>
          <cell r="E45">
            <v>0</v>
          </cell>
          <cell r="L45">
            <v>0</v>
          </cell>
        </row>
        <row r="46">
          <cell r="E46">
            <v>1</v>
          </cell>
          <cell r="L46">
            <v>0</v>
          </cell>
        </row>
        <row r="47">
          <cell r="E47">
            <v>2</v>
          </cell>
          <cell r="L47">
            <v>0</v>
          </cell>
        </row>
        <row r="48">
          <cell r="E48">
            <v>2</v>
          </cell>
          <cell r="L48">
            <v>0</v>
          </cell>
        </row>
        <row r="49">
          <cell r="E49">
            <v>3</v>
          </cell>
          <cell r="L49">
            <v>0</v>
          </cell>
        </row>
        <row r="50">
          <cell r="E50">
            <v>4</v>
          </cell>
          <cell r="L50">
            <v>0</v>
          </cell>
        </row>
        <row r="51">
          <cell r="E51">
            <v>4</v>
          </cell>
          <cell r="L51">
            <v>0</v>
          </cell>
        </row>
        <row r="52">
          <cell r="E52" t="str">
            <v>5-8</v>
          </cell>
          <cell r="L52">
            <v>0</v>
          </cell>
        </row>
        <row r="53">
          <cell r="E53">
            <v>0</v>
          </cell>
          <cell r="L53">
            <v>0</v>
          </cell>
        </row>
        <row r="54">
          <cell r="E54" t="str">
            <v>1&amp;8</v>
          </cell>
          <cell r="L54">
            <v>0</v>
          </cell>
        </row>
        <row r="55">
          <cell r="E55">
            <v>0</v>
          </cell>
          <cell r="L55">
            <v>0</v>
          </cell>
        </row>
        <row r="56">
          <cell r="E56">
            <v>8</v>
          </cell>
          <cell r="L56">
            <v>0</v>
          </cell>
        </row>
        <row r="57">
          <cell r="E57">
            <v>0</v>
          </cell>
          <cell r="L57">
            <v>0</v>
          </cell>
        </row>
        <row r="58">
          <cell r="E58">
            <v>0</v>
          </cell>
          <cell r="L58">
            <v>0</v>
          </cell>
        </row>
        <row r="59">
          <cell r="E59">
            <v>1</v>
          </cell>
          <cell r="L59">
            <v>0</v>
          </cell>
        </row>
        <row r="60">
          <cell r="E60">
            <v>2</v>
          </cell>
          <cell r="L60">
            <v>0</v>
          </cell>
        </row>
        <row r="61">
          <cell r="E61">
            <v>2</v>
          </cell>
          <cell r="L61">
            <v>0</v>
          </cell>
        </row>
        <row r="62">
          <cell r="E62">
            <v>3</v>
          </cell>
          <cell r="L62">
            <v>0</v>
          </cell>
        </row>
        <row r="63">
          <cell r="E63">
            <v>4</v>
          </cell>
          <cell r="L63">
            <v>0</v>
          </cell>
        </row>
        <row r="64">
          <cell r="E64">
            <v>4</v>
          </cell>
          <cell r="L64">
            <v>0</v>
          </cell>
        </row>
        <row r="65">
          <cell r="E65" t="str">
            <v>5-8</v>
          </cell>
          <cell r="L65">
            <v>0</v>
          </cell>
        </row>
        <row r="66">
          <cell r="E66">
            <v>0</v>
          </cell>
          <cell r="L66">
            <v>0</v>
          </cell>
        </row>
        <row r="67">
          <cell r="E67">
            <v>0</v>
          </cell>
          <cell r="L67">
            <v>0</v>
          </cell>
        </row>
        <row r="68">
          <cell r="E68">
            <v>0</v>
          </cell>
          <cell r="L68">
            <v>0</v>
          </cell>
        </row>
        <row r="69">
          <cell r="E69" t="str">
            <v>1&amp;8</v>
          </cell>
          <cell r="L69">
            <v>0</v>
          </cell>
        </row>
        <row r="70">
          <cell r="E70">
            <v>0</v>
          </cell>
          <cell r="L70">
            <v>0</v>
          </cell>
        </row>
        <row r="71">
          <cell r="E71">
            <v>8</v>
          </cell>
          <cell r="L71">
            <v>0</v>
          </cell>
        </row>
        <row r="72">
          <cell r="E72">
            <v>8</v>
          </cell>
          <cell r="L72">
            <v>0</v>
          </cell>
        </row>
        <row r="73">
          <cell r="E73">
            <v>0</v>
          </cell>
          <cell r="L73">
            <v>0</v>
          </cell>
        </row>
        <row r="74">
          <cell r="E74">
            <v>0</v>
          </cell>
          <cell r="L74">
            <v>0</v>
          </cell>
        </row>
        <row r="75">
          <cell r="E75">
            <v>0</v>
          </cell>
          <cell r="L75">
            <v>0</v>
          </cell>
        </row>
        <row r="76">
          <cell r="E76">
            <v>0</v>
          </cell>
          <cell r="L76">
            <v>0</v>
          </cell>
        </row>
        <row r="77">
          <cell r="E77">
            <v>0</v>
          </cell>
          <cell r="L77">
            <v>0</v>
          </cell>
        </row>
        <row r="78">
          <cell r="E78">
            <v>0</v>
          </cell>
          <cell r="L78">
            <v>0</v>
          </cell>
        </row>
        <row r="88">
          <cell r="D88" t="str">
            <v>011, 041, 441, 511</v>
          </cell>
          <cell r="E88">
            <v>1</v>
          </cell>
          <cell r="L88">
            <v>541</v>
          </cell>
        </row>
        <row r="89">
          <cell r="D89" t="str">
            <v xml:space="preserve">031, 051, 061, 451, 531 </v>
          </cell>
          <cell r="E89">
            <v>2</v>
          </cell>
          <cell r="L89" t="str">
            <v>421, 501, 551, 561, 621, 651</v>
          </cell>
        </row>
        <row r="90">
          <cell r="D90" t="str">
            <v>081, 581</v>
          </cell>
          <cell r="E90">
            <v>2</v>
          </cell>
          <cell r="L90" t="str">
            <v>071, 101, 111, 571, 601, 611</v>
          </cell>
        </row>
        <row r="91">
          <cell r="D91" t="str">
            <v>131, 191, 631</v>
          </cell>
          <cell r="E91">
            <v>3</v>
          </cell>
          <cell r="L91">
            <v>691</v>
          </cell>
        </row>
        <row r="92">
          <cell r="D92" t="str">
            <v>161, 171, 661</v>
          </cell>
          <cell r="E92">
            <v>4</v>
          </cell>
          <cell r="L92" t="str">
            <v>181, 671, 681</v>
          </cell>
        </row>
        <row r="93">
          <cell r="D93" t="str">
            <v>091, 591</v>
          </cell>
          <cell r="E93">
            <v>4</v>
          </cell>
          <cell r="L93" t="str">
            <v>071, 101,111, 571, 601, 611</v>
          </cell>
        </row>
        <row r="94">
          <cell r="D94" t="str">
            <v>241, 431, 481, 751</v>
          </cell>
          <cell r="E94" t="str">
            <v>5-8</v>
          </cell>
          <cell r="L94" t="str">
            <v>201, 211, 221, 231, 431, 701, 711</v>
          </cell>
        </row>
        <row r="95">
          <cell r="D95" t="str">
            <v>242, 432, 482, 752</v>
          </cell>
          <cell r="E95" t="str">
            <v>5-8</v>
          </cell>
          <cell r="L95" t="str">
            <v>202, 212, 222, 432, 702, 712</v>
          </cell>
        </row>
        <row r="96">
          <cell r="D96" t="str">
            <v>483, 753</v>
          </cell>
          <cell r="E96" t="str">
            <v>5-8</v>
          </cell>
          <cell r="L96" t="str">
            <v>203, 213, 223, 703, 713</v>
          </cell>
        </row>
        <row r="97">
          <cell r="D97">
            <v>801</v>
          </cell>
          <cell r="E97">
            <v>0</v>
          </cell>
          <cell r="L97">
            <v>251271401</v>
          </cell>
        </row>
        <row r="98">
          <cell r="D98">
            <v>802</v>
          </cell>
          <cell r="E98">
            <v>0</v>
          </cell>
          <cell r="L98">
            <v>252272402</v>
          </cell>
        </row>
        <row r="99">
          <cell r="D99">
            <v>803</v>
          </cell>
          <cell r="E99">
            <v>0</v>
          </cell>
          <cell r="L99" t="str">
            <v>253, 413</v>
          </cell>
        </row>
        <row r="100">
          <cell r="D100">
            <v>804</v>
          </cell>
          <cell r="E100">
            <v>0</v>
          </cell>
          <cell r="L100" t="str">
            <v>384, 404</v>
          </cell>
        </row>
        <row r="101">
          <cell r="D101">
            <v>721</v>
          </cell>
          <cell r="E101" t="str">
            <v>1&amp;8</v>
          </cell>
          <cell r="L101">
            <v>341351371381</v>
          </cell>
        </row>
        <row r="102">
          <cell r="D102">
            <v>811</v>
          </cell>
          <cell r="E102">
            <v>0</v>
          </cell>
          <cell r="L102">
            <v>351</v>
          </cell>
        </row>
        <row r="103">
          <cell r="D103">
            <v>961</v>
          </cell>
          <cell r="E103">
            <v>8</v>
          </cell>
          <cell r="L103">
            <v>911921931941</v>
          </cell>
        </row>
        <row r="104">
          <cell r="D104">
            <v>962</v>
          </cell>
          <cell r="E104">
            <v>8</v>
          </cell>
          <cell r="L104">
            <v>0</v>
          </cell>
        </row>
        <row r="105">
          <cell r="D105">
            <v>971</v>
          </cell>
          <cell r="E105">
            <v>0</v>
          </cell>
          <cell r="L105">
            <v>0</v>
          </cell>
        </row>
        <row r="106">
          <cell r="D106">
            <v>981</v>
          </cell>
          <cell r="E106">
            <v>0</v>
          </cell>
          <cell r="L106">
            <v>0</v>
          </cell>
        </row>
        <row r="107">
          <cell r="D107">
            <v>972</v>
          </cell>
          <cell r="E107">
            <v>0</v>
          </cell>
          <cell r="L107">
            <v>0</v>
          </cell>
        </row>
        <row r="108">
          <cell r="D108">
            <v>982</v>
          </cell>
          <cell r="E108">
            <v>0</v>
          </cell>
          <cell r="L108">
            <v>0</v>
          </cell>
        </row>
        <row r="109">
          <cell r="D109">
            <v>973</v>
          </cell>
          <cell r="E109">
            <v>0</v>
          </cell>
          <cell r="L109">
            <v>0</v>
          </cell>
        </row>
        <row r="110">
          <cell r="D110">
            <v>983</v>
          </cell>
          <cell r="E110">
            <v>0</v>
          </cell>
          <cell r="L110">
            <v>0</v>
          </cell>
        </row>
        <row r="111">
          <cell r="D111">
            <v>984</v>
          </cell>
          <cell r="E111">
            <v>0</v>
          </cell>
          <cell r="L111">
            <v>0</v>
          </cell>
        </row>
        <row r="112">
          <cell r="D112">
            <v>974</v>
          </cell>
          <cell r="E112">
            <v>0</v>
          </cell>
          <cell r="L112">
            <v>0</v>
          </cell>
        </row>
        <row r="113">
          <cell r="D113">
            <v>0</v>
          </cell>
          <cell r="E113">
            <v>1</v>
          </cell>
          <cell r="L113">
            <v>0</v>
          </cell>
        </row>
        <row r="114">
          <cell r="D114">
            <v>0</v>
          </cell>
          <cell r="E114">
            <v>2</v>
          </cell>
          <cell r="L114">
            <v>0</v>
          </cell>
        </row>
        <row r="115">
          <cell r="D115">
            <v>0</v>
          </cell>
          <cell r="E115">
            <v>2</v>
          </cell>
          <cell r="L115">
            <v>0</v>
          </cell>
        </row>
        <row r="116">
          <cell r="D116">
            <v>0</v>
          </cell>
          <cell r="E116">
            <v>3</v>
          </cell>
          <cell r="L116">
            <v>0</v>
          </cell>
        </row>
        <row r="117">
          <cell r="D117">
            <v>0</v>
          </cell>
          <cell r="E117">
            <v>4</v>
          </cell>
          <cell r="L117">
            <v>0</v>
          </cell>
        </row>
        <row r="118">
          <cell r="D118">
            <v>0</v>
          </cell>
          <cell r="E118">
            <v>4</v>
          </cell>
          <cell r="L118">
            <v>0</v>
          </cell>
        </row>
        <row r="119">
          <cell r="D119">
            <v>0</v>
          </cell>
          <cell r="E119" t="str">
            <v>5-8</v>
          </cell>
          <cell r="L119">
            <v>0</v>
          </cell>
        </row>
        <row r="120">
          <cell r="D120">
            <v>0</v>
          </cell>
          <cell r="E120">
            <v>0</v>
          </cell>
          <cell r="L120">
            <v>0</v>
          </cell>
        </row>
        <row r="121">
          <cell r="D121">
            <v>0</v>
          </cell>
          <cell r="E121" t="str">
            <v>1&amp;8</v>
          </cell>
          <cell r="L121">
            <v>0</v>
          </cell>
        </row>
        <row r="122">
          <cell r="D122">
            <v>0</v>
          </cell>
          <cell r="E122">
            <v>0</v>
          </cell>
          <cell r="L122">
            <v>0</v>
          </cell>
        </row>
        <row r="123">
          <cell r="D123">
            <v>0</v>
          </cell>
          <cell r="E123">
            <v>8</v>
          </cell>
          <cell r="L123">
            <v>0</v>
          </cell>
        </row>
        <row r="124">
          <cell r="D124">
            <v>0</v>
          </cell>
          <cell r="E124">
            <v>0</v>
          </cell>
          <cell r="L124">
            <v>0</v>
          </cell>
        </row>
        <row r="125">
          <cell r="D125">
            <v>0</v>
          </cell>
          <cell r="E125">
            <v>0</v>
          </cell>
          <cell r="L125">
            <v>0</v>
          </cell>
        </row>
        <row r="126">
          <cell r="D126">
            <v>0</v>
          </cell>
          <cell r="E126">
            <v>1</v>
          </cell>
          <cell r="L126">
            <v>0</v>
          </cell>
        </row>
        <row r="127">
          <cell r="D127">
            <v>0</v>
          </cell>
          <cell r="E127">
            <v>2</v>
          </cell>
          <cell r="L127">
            <v>0</v>
          </cell>
        </row>
        <row r="128">
          <cell r="D128">
            <v>0</v>
          </cell>
          <cell r="E128">
            <v>2</v>
          </cell>
          <cell r="L128">
            <v>0</v>
          </cell>
        </row>
        <row r="129">
          <cell r="D129">
            <v>0</v>
          </cell>
          <cell r="E129">
            <v>3</v>
          </cell>
          <cell r="L129">
            <v>0</v>
          </cell>
        </row>
        <row r="130">
          <cell r="D130">
            <v>0</v>
          </cell>
          <cell r="E130">
            <v>4</v>
          </cell>
          <cell r="L130">
            <v>0</v>
          </cell>
        </row>
        <row r="131">
          <cell r="D131">
            <v>0</v>
          </cell>
          <cell r="E131">
            <v>4</v>
          </cell>
          <cell r="L131">
            <v>0</v>
          </cell>
        </row>
        <row r="132">
          <cell r="D132">
            <v>0</v>
          </cell>
          <cell r="E132" t="str">
            <v>5-8</v>
          </cell>
          <cell r="L132">
            <v>0</v>
          </cell>
        </row>
        <row r="133">
          <cell r="D133">
            <v>0</v>
          </cell>
          <cell r="E133">
            <v>0</v>
          </cell>
          <cell r="L133">
            <v>0</v>
          </cell>
        </row>
        <row r="134">
          <cell r="D134">
            <v>0</v>
          </cell>
          <cell r="E134">
            <v>0</v>
          </cell>
          <cell r="L134">
            <v>0</v>
          </cell>
        </row>
        <row r="135">
          <cell r="D135">
            <v>0</v>
          </cell>
          <cell r="E135">
            <v>0</v>
          </cell>
          <cell r="L135">
            <v>0</v>
          </cell>
        </row>
        <row r="136">
          <cell r="D136">
            <v>0</v>
          </cell>
          <cell r="E136" t="str">
            <v>1&amp;8</v>
          </cell>
          <cell r="L136">
            <v>0</v>
          </cell>
        </row>
        <row r="137">
          <cell r="D137">
            <v>0</v>
          </cell>
          <cell r="E137">
            <v>0</v>
          </cell>
          <cell r="L137">
            <v>0</v>
          </cell>
        </row>
        <row r="138">
          <cell r="D138">
            <v>0</v>
          </cell>
          <cell r="E138">
            <v>8</v>
          </cell>
          <cell r="L138">
            <v>0</v>
          </cell>
        </row>
        <row r="139">
          <cell r="D139">
            <v>0</v>
          </cell>
          <cell r="E139">
            <v>8</v>
          </cell>
          <cell r="L139">
            <v>0</v>
          </cell>
        </row>
        <row r="140">
          <cell r="D140">
            <v>0</v>
          </cell>
          <cell r="E140">
            <v>0</v>
          </cell>
          <cell r="L140">
            <v>0</v>
          </cell>
        </row>
        <row r="141">
          <cell r="D141">
            <v>0</v>
          </cell>
          <cell r="E141">
            <v>0</v>
          </cell>
          <cell r="L141">
            <v>0</v>
          </cell>
        </row>
        <row r="142">
          <cell r="D142">
            <v>0</v>
          </cell>
          <cell r="E142">
            <v>0</v>
          </cell>
          <cell r="L142">
            <v>0</v>
          </cell>
        </row>
        <row r="143">
          <cell r="D143">
            <v>0</v>
          </cell>
          <cell r="E143">
            <v>0</v>
          </cell>
          <cell r="L143">
            <v>0</v>
          </cell>
        </row>
        <row r="144">
          <cell r="D144">
            <v>0</v>
          </cell>
          <cell r="E144">
            <v>0</v>
          </cell>
          <cell r="L144">
            <v>0</v>
          </cell>
        </row>
        <row r="145">
          <cell r="D145">
            <v>0</v>
          </cell>
          <cell r="E145">
            <v>0</v>
          </cell>
          <cell r="L145">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mmentary"/>
      <sheetName val="CDCM Forecast Data"/>
      <sheetName val="Table 1"/>
      <sheetName val="Smoothed Input Details"/>
      <sheetName val="Mat of App"/>
      <sheetName val="CDCM Volume Forecasts"/>
      <sheetName val="CDCM Timebands"/>
      <sheetName val="(Y)"/>
      <sheetName val="(Y+1)"/>
      <sheetName val="(Y+2)"/>
      <sheetName val="(Y+3)"/>
      <sheetName val="(Y+4)"/>
      <sheetName val="Tariffs ARP"/>
      <sheetName val="Typical Bill"/>
      <sheetName val="Vlookup"/>
      <sheetName val="Tariffs"/>
      <sheetName val="Summary"/>
      <sheetName val="CDCM"/>
    </sheetNames>
    <sheetDataSet>
      <sheetData sheetId="0" refreshError="1"/>
      <sheetData sheetId="1" refreshError="1"/>
      <sheetData sheetId="2">
        <row r="3">
          <cell r="E3" t="str">
            <v>WPD South West</v>
          </cell>
        </row>
        <row r="4">
          <cell r="E4">
            <v>42736</v>
          </cell>
        </row>
        <row r="5">
          <cell r="E5" t="str">
            <v>ARP</v>
          </cell>
        </row>
        <row r="19">
          <cell r="C19">
            <v>4.3499999999999997E-2</v>
          </cell>
          <cell r="D19">
            <v>4.3099999999999999E-2</v>
          </cell>
          <cell r="E19">
            <v>4.2099999999999999E-2</v>
          </cell>
          <cell r="F19">
            <v>4.2099999999999999E-2</v>
          </cell>
          <cell r="G19">
            <v>4.2099999999999999E-2</v>
          </cell>
          <cell r="H19">
            <v>4.2099999999999999E-2</v>
          </cell>
          <cell r="I19">
            <v>4.2099999999999999E-2</v>
          </cell>
        </row>
        <row r="20">
          <cell r="C20">
            <v>40</v>
          </cell>
          <cell r="D20">
            <v>40</v>
          </cell>
          <cell r="E20">
            <v>40</v>
          </cell>
          <cell r="F20">
            <v>40</v>
          </cell>
          <cell r="G20">
            <v>40</v>
          </cell>
          <cell r="H20">
            <v>40</v>
          </cell>
          <cell r="I20">
            <v>40</v>
          </cell>
        </row>
        <row r="21">
          <cell r="C21">
            <v>0.95</v>
          </cell>
          <cell r="D21">
            <v>0.95</v>
          </cell>
          <cell r="E21">
            <v>0.95</v>
          </cell>
          <cell r="F21">
            <v>0.95</v>
          </cell>
          <cell r="G21">
            <v>0.95</v>
          </cell>
          <cell r="H21">
            <v>0.95</v>
          </cell>
          <cell r="I21">
            <v>0.95</v>
          </cell>
        </row>
        <row r="22">
          <cell r="C22">
            <v>365</v>
          </cell>
          <cell r="D22">
            <v>365</v>
          </cell>
          <cell r="E22">
            <v>365</v>
          </cell>
          <cell r="F22">
            <v>365</v>
          </cell>
          <cell r="G22">
            <v>366</v>
          </cell>
          <cell r="H22">
            <v>365</v>
          </cell>
          <cell r="I22">
            <v>365</v>
          </cell>
        </row>
        <row r="24">
          <cell r="C24">
            <v>2.1999999999999999E-2</v>
          </cell>
          <cell r="D24">
            <v>2.1999999999999999E-2</v>
          </cell>
          <cell r="E24">
            <v>2.1999999999999999E-2</v>
          </cell>
          <cell r="F24">
            <v>2.1999999999999999E-2</v>
          </cell>
          <cell r="G24">
            <v>2.1999999999999999E-2</v>
          </cell>
          <cell r="H24">
            <v>2.1999999999999999E-2</v>
          </cell>
          <cell r="I24">
            <v>2.1999999999999999E-2</v>
          </cell>
        </row>
        <row r="25">
          <cell r="C25">
            <v>3.1E-2</v>
          </cell>
          <cell r="D25">
            <v>3.1E-2</v>
          </cell>
          <cell r="E25">
            <v>3.1E-2</v>
          </cell>
          <cell r="F25">
            <v>3.1E-2</v>
          </cell>
          <cell r="G25">
            <v>3.1E-2</v>
          </cell>
          <cell r="H25">
            <v>3.1E-2</v>
          </cell>
          <cell r="I25">
            <v>3.1E-2</v>
          </cell>
        </row>
        <row r="26">
          <cell r="C26">
            <v>7.4999999999999997E-2</v>
          </cell>
          <cell r="D26">
            <v>7.4999999999999997E-2</v>
          </cell>
          <cell r="E26">
            <v>7.4999999999999997E-2</v>
          </cell>
          <cell r="F26">
            <v>7.4999999999999997E-2</v>
          </cell>
          <cell r="G26">
            <v>7.4999999999999997E-2</v>
          </cell>
          <cell r="H26">
            <v>7.4999999999999997E-2</v>
          </cell>
          <cell r="I26">
            <v>7.4999999999999997E-2</v>
          </cell>
        </row>
        <row r="27">
          <cell r="C27">
            <v>0.37</v>
          </cell>
          <cell r="D27">
            <v>0.37</v>
          </cell>
          <cell r="E27">
            <v>0.37</v>
          </cell>
          <cell r="F27">
            <v>0.37</v>
          </cell>
          <cell r="G27">
            <v>0.37</v>
          </cell>
          <cell r="H27">
            <v>0.37</v>
          </cell>
          <cell r="I27">
            <v>0.37</v>
          </cell>
        </row>
        <row r="28">
          <cell r="E28">
            <v>0</v>
          </cell>
          <cell r="F28">
            <v>0</v>
          </cell>
          <cell r="G28">
            <v>0</v>
          </cell>
          <cell r="H28">
            <v>0</v>
          </cell>
          <cell r="I28">
            <v>0</v>
          </cell>
        </row>
        <row r="29">
          <cell r="C29">
            <v>500</v>
          </cell>
          <cell r="D29">
            <v>500</v>
          </cell>
          <cell r="E29">
            <v>500</v>
          </cell>
          <cell r="F29">
            <v>500</v>
          </cell>
          <cell r="G29">
            <v>500</v>
          </cell>
          <cell r="H29">
            <v>500</v>
          </cell>
          <cell r="I29">
            <v>500</v>
          </cell>
        </row>
        <row r="31">
          <cell r="C31">
            <v>111419930.22635204</v>
          </cell>
          <cell r="D31">
            <v>114846093.08081236</v>
          </cell>
          <cell r="E31">
            <v>118377610.44304734</v>
          </cell>
        </row>
        <row r="32">
          <cell r="C32">
            <v>15781435.270080002</v>
          </cell>
          <cell r="D32">
            <v>16266714.404634964</v>
          </cell>
          <cell r="E32">
            <v>16766915.87257749</v>
          </cell>
        </row>
        <row r="33">
          <cell r="C33">
            <v>39840185.592</v>
          </cell>
          <cell r="D33">
            <v>41065271.298954003</v>
          </cell>
          <cell r="E33">
            <v>42328028.391396843</v>
          </cell>
        </row>
        <row r="34">
          <cell r="C34">
            <v>40041227.148720004</v>
          </cell>
          <cell r="D34">
            <v>41272494.883543149</v>
          </cell>
          <cell r="E34">
            <v>42541624.101212099</v>
          </cell>
        </row>
        <row r="35">
          <cell r="C35">
            <v>0</v>
          </cell>
          <cell r="D35">
            <v>0</v>
          </cell>
          <cell r="E35">
            <v>0</v>
          </cell>
        </row>
        <row r="36">
          <cell r="C36">
            <v>142603119.25752002</v>
          </cell>
          <cell r="D36">
            <v>146988165.17468876</v>
          </cell>
          <cell r="E36">
            <v>151508051.25381044</v>
          </cell>
        </row>
        <row r="37">
          <cell r="C37">
            <v>60769296.656159997</v>
          </cell>
          <cell r="D37">
            <v>62637952.52833692</v>
          </cell>
          <cell r="E37">
            <v>64564069.568583287</v>
          </cell>
        </row>
        <row r="38">
          <cell r="C38">
            <v>130516403.43556802</v>
          </cell>
          <cell r="D38">
            <v>134529782.84121174</v>
          </cell>
          <cell r="E38">
            <v>138666573.66357902</v>
          </cell>
        </row>
        <row r="40">
          <cell r="C40">
            <v>5105.1767199999995</v>
          </cell>
          <cell r="D40">
            <v>5262.1609041399997</v>
          </cell>
          <cell r="E40">
            <v>5423.9723519423051</v>
          </cell>
        </row>
        <row r="41">
          <cell r="C41">
            <v>574.28134</v>
          </cell>
          <cell r="D41">
            <v>591.94049120500006</v>
          </cell>
          <cell r="E41">
            <v>610.14266130955389</v>
          </cell>
        </row>
        <row r="42">
          <cell r="C42">
            <v>699.18343999999991</v>
          </cell>
          <cell r="D42">
            <v>720.68333077999989</v>
          </cell>
          <cell r="E42">
            <v>742.84434320148489</v>
          </cell>
        </row>
        <row r="43">
          <cell r="C43">
            <v>518.52839999999992</v>
          </cell>
          <cell r="D43">
            <v>534.47314829999993</v>
          </cell>
          <cell r="E43">
            <v>550.90819761022499</v>
          </cell>
        </row>
        <row r="44">
          <cell r="C44">
            <v>1178.730448</v>
          </cell>
          <cell r="D44">
            <v>1214.9764092760001</v>
          </cell>
          <cell r="E44">
            <v>1252.3369338612372</v>
          </cell>
        </row>
        <row r="45">
          <cell r="C45">
            <v>907.87362000000007</v>
          </cell>
          <cell r="D45">
            <v>935.79073381500018</v>
          </cell>
          <cell r="E45">
            <v>964.56629887981148</v>
          </cell>
        </row>
        <row r="46">
          <cell r="C46">
            <v>0</v>
          </cell>
          <cell r="D46">
            <v>0</v>
          </cell>
          <cell r="E46">
            <v>0</v>
          </cell>
        </row>
        <row r="47">
          <cell r="C47">
            <v>474.82320000000004</v>
          </cell>
          <cell r="D47">
            <v>489.42401340000009</v>
          </cell>
          <cell r="E47">
            <v>504.47380181205011</v>
          </cell>
        </row>
        <row r="49">
          <cell r="C49">
            <v>9007.1597759999986</v>
          </cell>
          <cell r="D49">
            <v>9284.1299391119992</v>
          </cell>
          <cell r="E49">
            <v>9569.6169347396935</v>
          </cell>
        </row>
        <row r="50">
          <cell r="C50">
            <v>4342.6559999999999</v>
          </cell>
          <cell r="D50">
            <v>4476.1926720000001</v>
          </cell>
          <cell r="E50">
            <v>4613.8355966640001</v>
          </cell>
        </row>
        <row r="51">
          <cell r="D51">
            <v>0</v>
          </cell>
          <cell r="E51">
            <v>0</v>
          </cell>
        </row>
        <row r="52">
          <cell r="D52">
            <v>0</v>
          </cell>
          <cell r="E52">
            <v>0</v>
          </cell>
        </row>
        <row r="53">
          <cell r="D53">
            <v>0</v>
          </cell>
          <cell r="E53">
            <v>0</v>
          </cell>
        </row>
        <row r="58">
          <cell r="C58">
            <v>1.008</v>
          </cell>
          <cell r="D58">
            <v>1.008</v>
          </cell>
          <cell r="E58">
            <v>1.002</v>
          </cell>
          <cell r="F58">
            <v>1.002</v>
          </cell>
          <cell r="G58">
            <v>1.002</v>
          </cell>
          <cell r="H58">
            <v>1.002</v>
          </cell>
          <cell r="I58">
            <v>1.002</v>
          </cell>
        </row>
        <row r="59">
          <cell r="C59">
            <v>1.0109999999999999</v>
          </cell>
          <cell r="D59">
            <v>1.0109999999999999</v>
          </cell>
          <cell r="E59">
            <v>1.006</v>
          </cell>
          <cell r="F59">
            <v>1.006</v>
          </cell>
          <cell r="G59">
            <v>1.006</v>
          </cell>
          <cell r="H59">
            <v>1.006</v>
          </cell>
          <cell r="I59">
            <v>1.006</v>
          </cell>
        </row>
        <row r="60">
          <cell r="C60">
            <v>1.024</v>
          </cell>
          <cell r="D60">
            <v>1.024</v>
          </cell>
          <cell r="E60">
            <v>1.012</v>
          </cell>
          <cell r="F60">
            <v>1.012</v>
          </cell>
          <cell r="G60">
            <v>1.012</v>
          </cell>
          <cell r="H60">
            <v>1.012</v>
          </cell>
          <cell r="I60">
            <v>1.012</v>
          </cell>
        </row>
        <row r="61">
          <cell r="C61">
            <v>1.034</v>
          </cell>
          <cell r="D61">
            <v>1.034</v>
          </cell>
          <cell r="E61">
            <v>1.0209999999999999</v>
          </cell>
          <cell r="F61">
            <v>1.0209999999999999</v>
          </cell>
          <cell r="G61">
            <v>1.0209999999999999</v>
          </cell>
          <cell r="H61">
            <v>1.0209999999999999</v>
          </cell>
          <cell r="I61">
            <v>1.0209999999999999</v>
          </cell>
        </row>
        <row r="62">
          <cell r="C62">
            <v>1.0569999999999999</v>
          </cell>
          <cell r="D62">
            <v>1.0569999999999999</v>
          </cell>
          <cell r="E62">
            <v>1.038</v>
          </cell>
          <cell r="F62">
            <v>1.038</v>
          </cell>
          <cell r="G62">
            <v>1.038</v>
          </cell>
          <cell r="H62">
            <v>1.038</v>
          </cell>
          <cell r="I62">
            <v>1.038</v>
          </cell>
        </row>
        <row r="63">
          <cell r="C63">
            <v>1.07</v>
          </cell>
          <cell r="D63">
            <v>1.07</v>
          </cell>
          <cell r="E63">
            <v>1.0489999999999999</v>
          </cell>
          <cell r="F63">
            <v>1.0489999999999999</v>
          </cell>
          <cell r="G63">
            <v>1.0489999999999999</v>
          </cell>
          <cell r="H63">
            <v>1.0489999999999999</v>
          </cell>
          <cell r="I63">
            <v>1.0489999999999999</v>
          </cell>
        </row>
        <row r="64">
          <cell r="C64">
            <v>1.085</v>
          </cell>
          <cell r="D64">
            <v>1.085</v>
          </cell>
          <cell r="E64">
            <v>1.0620000000000001</v>
          </cell>
          <cell r="F64">
            <v>1.0620000000000001</v>
          </cell>
          <cell r="G64">
            <v>1.0620000000000001</v>
          </cell>
          <cell r="H64">
            <v>1.0620000000000001</v>
          </cell>
          <cell r="I64">
            <v>1.0620000000000001</v>
          </cell>
        </row>
        <row r="66">
          <cell r="C66">
            <v>0.3707332984513923</v>
          </cell>
          <cell r="D66">
            <v>0.3712611553188348</v>
          </cell>
          <cell r="E66">
            <v>0.37267999985613431</v>
          </cell>
          <cell r="F66">
            <v>0.37267999985613431</v>
          </cell>
          <cell r="G66">
            <v>0.37267999985613431</v>
          </cell>
          <cell r="H66">
            <v>0.37267999985613431</v>
          </cell>
          <cell r="I66">
            <v>0.37267999985613431</v>
          </cell>
        </row>
        <row r="67">
          <cell r="C67">
            <v>0.62576325598152138</v>
          </cell>
          <cell r="D67">
            <v>0.62673064922258426</v>
          </cell>
          <cell r="E67">
            <v>0.6188090826390088</v>
          </cell>
          <cell r="F67">
            <v>0.6188090826390088</v>
          </cell>
          <cell r="G67">
            <v>0.6188090826390088</v>
          </cell>
          <cell r="H67">
            <v>0.6188090826390088</v>
          </cell>
          <cell r="I67">
            <v>0.6188090826390088</v>
          </cell>
        </row>
        <row r="68">
          <cell r="C68">
            <v>0.38635089404625156</v>
          </cell>
          <cell r="D68">
            <v>0.38738653809384505</v>
          </cell>
          <cell r="E68">
            <v>0.3749541673400224</v>
          </cell>
          <cell r="F68">
            <v>0.3749541673400224</v>
          </cell>
          <cell r="G68">
            <v>0.3749541673400224</v>
          </cell>
          <cell r="H68">
            <v>0.3749541673400224</v>
          </cell>
          <cell r="I68">
            <v>0.3749541673400224</v>
          </cell>
        </row>
        <row r="69">
          <cell r="C69">
            <v>0.27215617077351317</v>
          </cell>
          <cell r="D69">
            <v>0.27306012017807152</v>
          </cell>
          <cell r="E69">
            <v>0.25863289422864333</v>
          </cell>
          <cell r="F69">
            <v>0.25863289422864333</v>
          </cell>
          <cell r="G69">
            <v>0.25863289422864333</v>
          </cell>
          <cell r="H69">
            <v>0.25863289422864333</v>
          </cell>
          <cell r="I69">
            <v>0.25863289422864333</v>
          </cell>
        </row>
        <row r="71">
          <cell r="C71">
            <v>0.89598373864555925</v>
          </cell>
          <cell r="D71">
            <v>0.89598373864555925</v>
          </cell>
        </row>
        <row r="72">
          <cell r="C72">
            <v>0.32457794956701363</v>
          </cell>
          <cell r="D72">
            <v>0.32457794956701363</v>
          </cell>
        </row>
        <row r="74">
          <cell r="C74">
            <v>0.65040444502590244</v>
          </cell>
          <cell r="D74">
            <v>0.65040444502590244</v>
          </cell>
        </row>
        <row r="75">
          <cell r="C75">
            <v>0.60748439097587781</v>
          </cell>
          <cell r="D75">
            <v>0.60748439097587781</v>
          </cell>
        </row>
        <row r="77">
          <cell r="C77">
            <v>0.86565529109320483</v>
          </cell>
          <cell r="D77">
            <v>0.86565529109320483</v>
          </cell>
        </row>
        <row r="78">
          <cell r="C78">
            <v>0.83933896268014541</v>
          </cell>
          <cell r="D78">
            <v>0.83933896268014541</v>
          </cell>
        </row>
        <row r="79">
          <cell r="C79">
            <v>0.69707767268592125</v>
          </cell>
          <cell r="D79">
            <v>0.69707767268592125</v>
          </cell>
        </row>
        <row r="80">
          <cell r="C80">
            <v>0.80619954779926484</v>
          </cell>
          <cell r="D80">
            <v>0.80619954779926484</v>
          </cell>
        </row>
        <row r="81">
          <cell r="C81">
            <v>0.64177545073415987</v>
          </cell>
          <cell r="D81">
            <v>0.64177545073415987</v>
          </cell>
        </row>
        <row r="82">
          <cell r="C82">
            <v>0.81736315531593873</v>
          </cell>
          <cell r="D82">
            <v>0.81736315531593873</v>
          </cell>
        </row>
        <row r="83">
          <cell r="C83">
            <v>0.77850527243821199</v>
          </cell>
          <cell r="D83">
            <v>0.77850527243821199</v>
          </cell>
        </row>
        <row r="84">
          <cell r="C84">
            <v>0.81143502356296626</v>
          </cell>
          <cell r="D84">
            <v>0.81143502356296626</v>
          </cell>
        </row>
        <row r="85">
          <cell r="C85">
            <v>1</v>
          </cell>
          <cell r="D85">
            <v>1</v>
          </cell>
        </row>
        <row r="86">
          <cell r="C86">
            <v>0.98387596899224805</v>
          </cell>
          <cell r="D86">
            <v>0.98387596899224805</v>
          </cell>
        </row>
        <row r="87">
          <cell r="C87">
            <v>0.88074224937768719</v>
          </cell>
          <cell r="D87">
            <v>0.88074224937768719</v>
          </cell>
        </row>
        <row r="88">
          <cell r="C88">
            <v>0</v>
          </cell>
          <cell r="D88">
            <v>0</v>
          </cell>
        </row>
        <row r="89">
          <cell r="C89">
            <v>0.97615646726013983</v>
          </cell>
          <cell r="D89">
            <v>0.97615646726013983</v>
          </cell>
        </row>
        <row r="91">
          <cell r="C91">
            <v>0.41536862438421546</v>
          </cell>
          <cell r="D91">
            <v>0.41536862438421546</v>
          </cell>
        </row>
        <row r="92">
          <cell r="C92">
            <v>0.25453539017426813</v>
          </cell>
          <cell r="D92">
            <v>0.25453539017426813</v>
          </cell>
        </row>
        <row r="93">
          <cell r="C93">
            <v>0.14543111314497692</v>
          </cell>
          <cell r="D93">
            <v>0.14543111314497692</v>
          </cell>
        </row>
        <row r="94">
          <cell r="C94">
            <v>0.39360486185745186</v>
          </cell>
          <cell r="D94">
            <v>0.39360486185745186</v>
          </cell>
        </row>
        <row r="95">
          <cell r="C95">
            <v>0.44733721058300141</v>
          </cell>
          <cell r="D95">
            <v>0.44733721058300141</v>
          </cell>
        </row>
        <row r="96">
          <cell r="C96">
            <v>0.15297687807903185</v>
          </cell>
          <cell r="D96">
            <v>0.15297687807903185</v>
          </cell>
        </row>
        <row r="97">
          <cell r="C97">
            <v>0.59522728401108771</v>
          </cell>
          <cell r="D97">
            <v>0.59522728401108771</v>
          </cell>
        </row>
        <row r="98">
          <cell r="C98">
            <v>0.60266793443862909</v>
          </cell>
          <cell r="D98">
            <v>0.60266793443862909</v>
          </cell>
        </row>
        <row r="99">
          <cell r="C99">
            <v>0.48549064481876009</v>
          </cell>
          <cell r="D99">
            <v>0.48549064481876009</v>
          </cell>
        </row>
        <row r="100">
          <cell r="C100">
            <v>0.38733963629464679</v>
          </cell>
          <cell r="D100">
            <v>0.38733963629464679</v>
          </cell>
        </row>
        <row r="101">
          <cell r="C101">
            <v>0.39820774703227385</v>
          </cell>
          <cell r="D101">
            <v>0.39820774703227385</v>
          </cell>
        </row>
        <row r="102">
          <cell r="C102">
            <v>0.5906997178260448</v>
          </cell>
          <cell r="D102">
            <v>0.5906997178260448</v>
          </cell>
        </row>
        <row r="103">
          <cell r="C103">
            <v>0.61451010345786983</v>
          </cell>
          <cell r="D103">
            <v>0.61451010345786983</v>
          </cell>
        </row>
        <row r="104">
          <cell r="C104">
            <v>0.72214194624239292</v>
          </cell>
          <cell r="D104">
            <v>0.72214194624239292</v>
          </cell>
        </row>
        <row r="105">
          <cell r="C105">
            <v>1</v>
          </cell>
          <cell r="D105">
            <v>1</v>
          </cell>
        </row>
        <row r="106">
          <cell r="C106">
            <v>0.47553661686096449</v>
          </cell>
          <cell r="D106">
            <v>0.47553661686096449</v>
          </cell>
        </row>
        <row r="107">
          <cell r="C107">
            <v>0.24606821655925035</v>
          </cell>
          <cell r="D107">
            <v>0.24606821655925035</v>
          </cell>
        </row>
        <row r="108">
          <cell r="C108">
            <v>0.51524303477250144</v>
          </cell>
          <cell r="D108">
            <v>0.51524303477250144</v>
          </cell>
        </row>
        <row r="109">
          <cell r="C109">
            <v>0.46048277655840636</v>
          </cell>
          <cell r="D109">
            <v>0.46048277655840636</v>
          </cell>
        </row>
        <row r="111">
          <cell r="C111">
            <v>8658635.3253648207</v>
          </cell>
          <cell r="D111">
            <v>8918394.3851257712</v>
          </cell>
          <cell r="E111">
            <v>8442465.8795590196</v>
          </cell>
          <cell r="F111">
            <v>9263214.2317964789</v>
          </cell>
          <cell r="G111">
            <v>9561016.3813804574</v>
          </cell>
          <cell r="H111">
            <v>9850981.6322911773</v>
          </cell>
          <cell r="I111">
            <v>10140946.883201897</v>
          </cell>
        </row>
        <row r="113">
          <cell r="C113">
            <v>26646449.882456504</v>
          </cell>
          <cell r="D113">
            <v>27171630.881074961</v>
          </cell>
          <cell r="E113">
            <v>33743177.6534563</v>
          </cell>
          <cell r="F113">
            <v>34765698.188409522</v>
          </cell>
          <cell r="G113">
            <v>35846648.468217216</v>
          </cell>
          <cell r="H113">
            <v>36898383.875597671</v>
          </cell>
          <cell r="I113">
            <v>38037763.900259838</v>
          </cell>
        </row>
        <row r="114">
          <cell r="C114">
            <v>97449575.421982497</v>
          </cell>
          <cell r="D114">
            <v>95114172.402925044</v>
          </cell>
          <cell r="E114">
            <v>100910650.80992401</v>
          </cell>
          <cell r="F114">
            <v>103968549.31931564</v>
          </cell>
          <cell r="G114">
            <v>107201184.88638681</v>
          </cell>
          <cell r="H114">
            <v>110346451.9246182</v>
          </cell>
          <cell r="I114">
            <v>113753824.54936889</v>
          </cell>
        </row>
        <row r="115">
          <cell r="C115">
            <v>0.6</v>
          </cell>
          <cell r="D115">
            <v>0.6</v>
          </cell>
          <cell r="E115">
            <v>0.6</v>
          </cell>
          <cell r="F115">
            <v>0.6</v>
          </cell>
          <cell r="G115">
            <v>0.6</v>
          </cell>
          <cell r="H115">
            <v>0.6</v>
          </cell>
          <cell r="I115">
            <v>0.6</v>
          </cell>
        </row>
        <row r="116">
          <cell r="C116">
            <v>15752928</v>
          </cell>
          <cell r="D116">
            <v>18218261.232000001</v>
          </cell>
          <cell r="E116">
            <v>19601920</v>
          </cell>
          <cell r="F116">
            <v>20157440</v>
          </cell>
          <cell r="G116">
            <v>20752640</v>
          </cell>
          <cell r="H116">
            <v>21149440</v>
          </cell>
          <cell r="I116">
            <v>21802510.59382423</v>
          </cell>
        </row>
        <row r="119">
          <cell r="C119">
            <v>0</v>
          </cell>
          <cell r="D119">
            <v>0</v>
          </cell>
          <cell r="E119">
            <v>0</v>
          </cell>
          <cell r="F119">
            <v>0</v>
          </cell>
          <cell r="G119">
            <v>0</v>
          </cell>
          <cell r="H119">
            <v>0</v>
          </cell>
          <cell r="I119">
            <v>0</v>
          </cell>
        </row>
        <row r="120">
          <cell r="E120">
            <v>0</v>
          </cell>
          <cell r="F120">
            <v>0</v>
          </cell>
          <cell r="G120">
            <v>0</v>
          </cell>
          <cell r="H120">
            <v>0</v>
          </cell>
          <cell r="I120">
            <v>0</v>
          </cell>
        </row>
        <row r="121">
          <cell r="E121">
            <v>0</v>
          </cell>
          <cell r="F121">
            <v>0</v>
          </cell>
          <cell r="G121">
            <v>0</v>
          </cell>
          <cell r="H121">
            <v>0</v>
          </cell>
          <cell r="I121">
            <v>0</v>
          </cell>
        </row>
        <row r="122">
          <cell r="C122">
            <v>0.81</v>
          </cell>
          <cell r="D122">
            <v>0.81</v>
          </cell>
          <cell r="E122">
            <v>0.81</v>
          </cell>
          <cell r="F122">
            <v>0.81</v>
          </cell>
          <cell r="G122">
            <v>0.81</v>
          </cell>
          <cell r="H122">
            <v>0.81</v>
          </cell>
          <cell r="I122">
            <v>0.81</v>
          </cell>
        </row>
        <row r="123">
          <cell r="E123">
            <v>0</v>
          </cell>
          <cell r="F123">
            <v>0</v>
          </cell>
          <cell r="G123">
            <v>0</v>
          </cell>
          <cell r="H123">
            <v>0</v>
          </cell>
          <cell r="I123">
            <v>0</v>
          </cell>
        </row>
        <row r="124">
          <cell r="C124">
            <v>0.81</v>
          </cell>
          <cell r="D124">
            <v>0.81</v>
          </cell>
          <cell r="E124">
            <v>0.81</v>
          </cell>
          <cell r="F124">
            <v>0.81</v>
          </cell>
          <cell r="G124">
            <v>0.81</v>
          </cell>
          <cell r="H124">
            <v>0.81</v>
          </cell>
          <cell r="I124">
            <v>0.81</v>
          </cell>
        </row>
        <row r="125">
          <cell r="C125">
            <v>0.95</v>
          </cell>
          <cell r="D125">
            <v>0.95</v>
          </cell>
          <cell r="E125">
            <v>0.95</v>
          </cell>
          <cell r="F125">
            <v>0.95</v>
          </cell>
          <cell r="G125">
            <v>0.95</v>
          </cell>
          <cell r="H125">
            <v>0.95</v>
          </cell>
          <cell r="I125">
            <v>0.95</v>
          </cell>
        </row>
        <row r="126">
          <cell r="C126">
            <v>0.95</v>
          </cell>
          <cell r="D126">
            <v>0.95</v>
          </cell>
          <cell r="E126">
            <v>0.95</v>
          </cell>
          <cell r="F126">
            <v>0.95</v>
          </cell>
          <cell r="G126">
            <v>0.95</v>
          </cell>
          <cell r="H126">
            <v>0.95</v>
          </cell>
          <cell r="I126">
            <v>0.95</v>
          </cell>
        </row>
        <row r="128">
          <cell r="C128">
            <v>0</v>
          </cell>
          <cell r="D128">
            <v>0</v>
          </cell>
          <cell r="E128">
            <v>0</v>
          </cell>
          <cell r="F128">
            <v>0</v>
          </cell>
          <cell r="G128">
            <v>0</v>
          </cell>
          <cell r="H128">
            <v>0</v>
          </cell>
          <cell r="I128">
            <v>0</v>
          </cell>
        </row>
        <row r="129">
          <cell r="C129">
            <v>0</v>
          </cell>
          <cell r="D129">
            <v>0</v>
          </cell>
          <cell r="E129">
            <v>0</v>
          </cell>
          <cell r="F129">
            <v>0</v>
          </cell>
          <cell r="G129">
            <v>0</v>
          </cell>
          <cell r="H129">
            <v>0</v>
          </cell>
          <cell r="I129">
            <v>0</v>
          </cell>
        </row>
        <row r="130">
          <cell r="E130">
            <v>0</v>
          </cell>
          <cell r="F130">
            <v>0</v>
          </cell>
          <cell r="G130">
            <v>0</v>
          </cell>
          <cell r="H130">
            <v>0</v>
          </cell>
          <cell r="I130">
            <v>0</v>
          </cell>
        </row>
        <row r="131">
          <cell r="C131">
            <v>0.81</v>
          </cell>
          <cell r="D131">
            <v>0.81</v>
          </cell>
          <cell r="E131">
            <v>0.81</v>
          </cell>
          <cell r="F131">
            <v>0.81</v>
          </cell>
          <cell r="G131">
            <v>0.81</v>
          </cell>
          <cell r="H131">
            <v>0.81</v>
          </cell>
          <cell r="I131">
            <v>0.81</v>
          </cell>
        </row>
        <row r="132">
          <cell r="E132">
            <v>0</v>
          </cell>
          <cell r="F132">
            <v>0</v>
          </cell>
          <cell r="G132">
            <v>0</v>
          </cell>
          <cell r="H132">
            <v>0</v>
          </cell>
          <cell r="I132">
            <v>0</v>
          </cell>
        </row>
        <row r="133">
          <cell r="C133">
            <v>0.81</v>
          </cell>
          <cell r="D133">
            <v>0.81</v>
          </cell>
          <cell r="E133">
            <v>0.81</v>
          </cell>
          <cell r="F133">
            <v>0.81</v>
          </cell>
          <cell r="G133">
            <v>0.81</v>
          </cell>
          <cell r="H133">
            <v>0.81</v>
          </cell>
          <cell r="I133">
            <v>0.81</v>
          </cell>
        </row>
        <row r="134">
          <cell r="C134">
            <v>0.95</v>
          </cell>
          <cell r="D134">
            <v>0.95</v>
          </cell>
          <cell r="E134">
            <v>0.95</v>
          </cell>
          <cell r="F134">
            <v>0.95</v>
          </cell>
          <cell r="G134">
            <v>0.95</v>
          </cell>
          <cell r="H134">
            <v>0.95</v>
          </cell>
          <cell r="I134">
            <v>0.95</v>
          </cell>
        </row>
        <row r="136">
          <cell r="C136">
            <v>0</v>
          </cell>
          <cell r="D136">
            <v>0</v>
          </cell>
          <cell r="E136">
            <v>0</v>
          </cell>
          <cell r="F136">
            <v>0</v>
          </cell>
          <cell r="G136">
            <v>0</v>
          </cell>
          <cell r="H136">
            <v>0</v>
          </cell>
          <cell r="I136">
            <v>0</v>
          </cell>
        </row>
        <row r="137">
          <cell r="C137">
            <v>0.67</v>
          </cell>
          <cell r="D137">
            <v>0.67</v>
          </cell>
          <cell r="E137">
            <v>0.67</v>
          </cell>
          <cell r="F137">
            <v>0.67</v>
          </cell>
          <cell r="G137">
            <v>0.67</v>
          </cell>
          <cell r="H137">
            <v>0.67</v>
          </cell>
          <cell r="I137">
            <v>0.67</v>
          </cell>
        </row>
        <row r="138">
          <cell r="C138">
            <v>0.67</v>
          </cell>
          <cell r="D138">
            <v>0.67</v>
          </cell>
          <cell r="E138">
            <v>0.67</v>
          </cell>
          <cell r="F138">
            <v>0.67</v>
          </cell>
          <cell r="G138">
            <v>0.67</v>
          </cell>
          <cell r="H138">
            <v>0.67</v>
          </cell>
          <cell r="I138">
            <v>0.67</v>
          </cell>
        </row>
        <row r="139">
          <cell r="C139">
            <v>1</v>
          </cell>
          <cell r="D139">
            <v>1</v>
          </cell>
          <cell r="E139">
            <v>1</v>
          </cell>
          <cell r="F139">
            <v>1</v>
          </cell>
          <cell r="G139">
            <v>1</v>
          </cell>
          <cell r="H139">
            <v>1</v>
          </cell>
          <cell r="I139">
            <v>1</v>
          </cell>
        </row>
        <row r="140">
          <cell r="E140">
            <v>0</v>
          </cell>
          <cell r="F140">
            <v>0</v>
          </cell>
          <cell r="G140">
            <v>0</v>
          </cell>
          <cell r="H140">
            <v>0</v>
          </cell>
          <cell r="I140">
            <v>0</v>
          </cell>
        </row>
        <row r="141">
          <cell r="C141">
            <v>1</v>
          </cell>
          <cell r="D141">
            <v>1</v>
          </cell>
          <cell r="E141">
            <v>1</v>
          </cell>
          <cell r="F141">
            <v>1</v>
          </cell>
          <cell r="G141">
            <v>1</v>
          </cell>
          <cell r="H141">
            <v>1</v>
          </cell>
          <cell r="I141">
            <v>1</v>
          </cell>
        </row>
        <row r="143">
          <cell r="C143">
            <v>0</v>
          </cell>
          <cell r="D143">
            <v>0</v>
          </cell>
          <cell r="E143">
            <v>0</v>
          </cell>
          <cell r="F143">
            <v>0</v>
          </cell>
          <cell r="G143">
            <v>0</v>
          </cell>
          <cell r="H143">
            <v>0</v>
          </cell>
          <cell r="I143">
            <v>0</v>
          </cell>
        </row>
        <row r="144">
          <cell r="C144">
            <v>0.67</v>
          </cell>
          <cell r="D144">
            <v>0.67</v>
          </cell>
          <cell r="E144">
            <v>0.67</v>
          </cell>
          <cell r="F144">
            <v>0.67</v>
          </cell>
          <cell r="G144">
            <v>0.67</v>
          </cell>
          <cell r="H144">
            <v>0.67</v>
          </cell>
          <cell r="I144">
            <v>0.67</v>
          </cell>
        </row>
        <row r="145">
          <cell r="C145">
            <v>0.67</v>
          </cell>
          <cell r="D145">
            <v>0.67</v>
          </cell>
          <cell r="E145">
            <v>0.67</v>
          </cell>
          <cell r="F145">
            <v>0.67</v>
          </cell>
          <cell r="G145">
            <v>0.67</v>
          </cell>
          <cell r="H145">
            <v>0.67</v>
          </cell>
          <cell r="I145">
            <v>0.67</v>
          </cell>
        </row>
        <row r="146">
          <cell r="C146">
            <v>1</v>
          </cell>
          <cell r="D146">
            <v>1</v>
          </cell>
          <cell r="E146">
            <v>1</v>
          </cell>
          <cell r="F146">
            <v>1</v>
          </cell>
          <cell r="G146">
            <v>1</v>
          </cell>
          <cell r="H146">
            <v>1</v>
          </cell>
          <cell r="I146">
            <v>1</v>
          </cell>
        </row>
        <row r="149">
          <cell r="C149">
            <v>8.8620328973875062E-2</v>
          </cell>
          <cell r="D149">
            <v>8.8620328973875062E-2</v>
          </cell>
        </row>
        <row r="150">
          <cell r="C150">
            <v>0.10676798615417167</v>
          </cell>
          <cell r="D150">
            <v>0.10676798615417167</v>
          </cell>
        </row>
        <row r="151">
          <cell r="C151">
            <v>1.2992410527694286E-3</v>
          </cell>
          <cell r="D151">
            <v>1.2992410527694286E-3</v>
          </cell>
        </row>
        <row r="152">
          <cell r="C152">
            <v>6.2112549851963073E-2</v>
          </cell>
          <cell r="D152">
            <v>6.2112549851963073E-2</v>
          </cell>
        </row>
        <row r="153">
          <cell r="C153">
            <v>8.0028077246318788E-2</v>
          </cell>
          <cell r="D153">
            <v>8.0028077246318788E-2</v>
          </cell>
        </row>
        <row r="154">
          <cell r="C154">
            <v>1.9741913755435413E-3</v>
          </cell>
          <cell r="D154">
            <v>1.9741913755435413E-3</v>
          </cell>
        </row>
        <row r="155">
          <cell r="C155">
            <v>8.2494277291549581E-2</v>
          </cell>
          <cell r="D155">
            <v>8.2494277291549581E-2</v>
          </cell>
        </row>
        <row r="156">
          <cell r="C156">
            <v>8.1383499769885667E-2</v>
          </cell>
          <cell r="D156">
            <v>8.1383499769885667E-2</v>
          </cell>
        </row>
        <row r="157">
          <cell r="C157">
            <v>8.2917824503159918E-2</v>
          </cell>
          <cell r="D157">
            <v>8.2917824503159918E-2</v>
          </cell>
        </row>
        <row r="159">
          <cell r="C159">
            <v>0.46207127415026478</v>
          </cell>
          <cell r="D159">
            <v>0.46207127415026478</v>
          </cell>
        </row>
        <row r="160">
          <cell r="C160">
            <v>0.53613221084305718</v>
          </cell>
          <cell r="D160">
            <v>0.53613221084305718</v>
          </cell>
        </row>
        <row r="161">
          <cell r="C161">
            <v>0.10846057686820332</v>
          </cell>
          <cell r="D161">
            <v>0.10846057686820332</v>
          </cell>
        </row>
        <row r="162">
          <cell r="C162">
            <v>0.56842688288678456</v>
          </cell>
          <cell r="D162">
            <v>0.56842688288678456</v>
          </cell>
        </row>
        <row r="163">
          <cell r="C163">
            <v>0.6316857089938811</v>
          </cell>
          <cell r="D163">
            <v>0.6316857089938811</v>
          </cell>
        </row>
        <row r="164">
          <cell r="C164">
            <v>0.11565685080296302</v>
          </cell>
          <cell r="D164">
            <v>0.11565685080296302</v>
          </cell>
        </row>
        <row r="165">
          <cell r="C165">
            <v>0.61982335390867427</v>
          </cell>
          <cell r="D165">
            <v>0.61982335390867427</v>
          </cell>
        </row>
        <row r="166">
          <cell r="C166">
            <v>0.61856610346769836</v>
          </cell>
          <cell r="D166">
            <v>0.61856610346769836</v>
          </cell>
        </row>
        <row r="167">
          <cell r="C167">
            <v>0.63320609461011934</v>
          </cell>
          <cell r="D167">
            <v>0.63320609461011934</v>
          </cell>
        </row>
        <row r="169">
          <cell r="C169">
            <v>0.44930839687586016</v>
          </cell>
          <cell r="D169">
            <v>0.44930839687586016</v>
          </cell>
        </row>
        <row r="170">
          <cell r="C170">
            <v>0.35709980300277117</v>
          </cell>
          <cell r="D170">
            <v>0.35709980300277117</v>
          </cell>
        </row>
        <row r="171">
          <cell r="C171">
            <v>0.89024018207902722</v>
          </cell>
          <cell r="D171">
            <v>0.89024018207902722</v>
          </cell>
        </row>
        <row r="172">
          <cell r="C172">
            <v>0.36946056726125237</v>
          </cell>
          <cell r="D172">
            <v>0.36946056726125237</v>
          </cell>
        </row>
        <row r="173">
          <cell r="C173">
            <v>0.28828621375980007</v>
          </cell>
          <cell r="D173">
            <v>0.28828621375980007</v>
          </cell>
        </row>
        <row r="174">
          <cell r="C174">
            <v>0.88236895782149338</v>
          </cell>
          <cell r="D174">
            <v>0.88236895782149338</v>
          </cell>
        </row>
        <row r="175">
          <cell r="C175">
            <v>0.29768236879977605</v>
          </cell>
          <cell r="D175">
            <v>0.29768236879977605</v>
          </cell>
        </row>
        <row r="176">
          <cell r="C176">
            <v>0.30005039676241602</v>
          </cell>
          <cell r="D176">
            <v>0.30005039676241602</v>
          </cell>
        </row>
        <row r="177">
          <cell r="C177">
            <v>0.28387608088672073</v>
          </cell>
          <cell r="D177">
            <v>0.28387608088672073</v>
          </cell>
        </row>
        <row r="180">
          <cell r="C180">
            <v>0</v>
          </cell>
          <cell r="D180">
            <v>0</v>
          </cell>
        </row>
        <row r="181">
          <cell r="C181">
            <v>0</v>
          </cell>
          <cell r="D181">
            <v>0</v>
          </cell>
        </row>
        <row r="182">
          <cell r="C182">
            <v>0</v>
          </cell>
          <cell r="D182">
            <v>0</v>
          </cell>
        </row>
        <row r="183">
          <cell r="C183">
            <v>0</v>
          </cell>
          <cell r="D183">
            <v>0</v>
          </cell>
        </row>
        <row r="184">
          <cell r="C184">
            <v>0</v>
          </cell>
          <cell r="D184">
            <v>0</v>
          </cell>
        </row>
        <row r="186">
          <cell r="C186">
            <v>2.0250477096150382E-2</v>
          </cell>
          <cell r="D186">
            <v>2.0250477096150382E-2</v>
          </cell>
        </row>
        <row r="187">
          <cell r="C187">
            <v>2.4667120918493463E-2</v>
          </cell>
          <cell r="D187">
            <v>2.4667120918493463E-2</v>
          </cell>
        </row>
        <row r="188">
          <cell r="C188">
            <v>0</v>
          </cell>
          <cell r="D188">
            <v>0</v>
          </cell>
        </row>
        <row r="189">
          <cell r="C189">
            <v>0</v>
          </cell>
          <cell r="D189">
            <v>0</v>
          </cell>
        </row>
        <row r="190">
          <cell r="C190">
            <v>0</v>
          </cell>
          <cell r="D190">
            <v>0</v>
          </cell>
        </row>
        <row r="192">
          <cell r="C192">
            <v>0.97974952290384953</v>
          </cell>
          <cell r="D192">
            <v>0.97974952290384953</v>
          </cell>
        </row>
        <row r="193">
          <cell r="C193">
            <v>0.97533287908150657</v>
          </cell>
          <cell r="D193">
            <v>0.97533287908150657</v>
          </cell>
        </row>
        <row r="194">
          <cell r="C194">
            <v>1</v>
          </cell>
          <cell r="D194">
            <v>1</v>
          </cell>
        </row>
        <row r="195">
          <cell r="C195">
            <v>1</v>
          </cell>
          <cell r="D195">
            <v>1</v>
          </cell>
        </row>
        <row r="196">
          <cell r="C196">
            <v>1</v>
          </cell>
          <cell r="D196">
            <v>1</v>
          </cell>
        </row>
        <row r="199">
          <cell r="C199">
            <v>1.7503805175038051E-2</v>
          </cell>
          <cell r="D199">
            <v>1.7503805175038051E-2</v>
          </cell>
        </row>
        <row r="200">
          <cell r="C200">
            <v>3.3217112725756566E-2</v>
          </cell>
          <cell r="D200">
            <v>3.3217112725756566E-2</v>
          </cell>
        </row>
        <row r="201">
          <cell r="C201">
            <v>6.0323464427330969E-2</v>
          </cell>
          <cell r="D201">
            <v>6.0323464427330969E-2</v>
          </cell>
        </row>
        <row r="202">
          <cell r="C202">
            <v>2.4631526231338285E-3</v>
          </cell>
          <cell r="D202">
            <v>2.4631526231338285E-3</v>
          </cell>
        </row>
        <row r="204">
          <cell r="C204">
            <v>0.43481735159817347</v>
          </cell>
          <cell r="D204">
            <v>0.43481735159817347</v>
          </cell>
        </row>
        <row r="205">
          <cell r="C205">
            <v>0.15156647019164513</v>
          </cell>
          <cell r="D205">
            <v>0.15156647019164513</v>
          </cell>
        </row>
        <row r="206">
          <cell r="C206">
            <v>0.24879592942288786</v>
          </cell>
          <cell r="D206">
            <v>0.24879592942288786</v>
          </cell>
        </row>
        <row r="207">
          <cell r="C207">
            <v>0.69860207370502614</v>
          </cell>
          <cell r="D207">
            <v>0.69860207370502614</v>
          </cell>
        </row>
        <row r="209">
          <cell r="C209">
            <v>0.54767884322678839</v>
          </cell>
          <cell r="D209">
            <v>0.54767884322678839</v>
          </cell>
        </row>
        <row r="210">
          <cell r="C210">
            <v>0.81521641708259829</v>
          </cell>
          <cell r="D210">
            <v>0.81521641708259829</v>
          </cell>
        </row>
        <row r="211">
          <cell r="C211">
            <v>0.69088060614978131</v>
          </cell>
          <cell r="D211">
            <v>0.69088060614978131</v>
          </cell>
        </row>
        <row r="212">
          <cell r="C212">
            <v>0.29893477367184035</v>
          </cell>
          <cell r="D212">
            <v>0.29893477367184035</v>
          </cell>
        </row>
        <row r="214">
          <cell r="C214">
            <v>152</v>
          </cell>
          <cell r="D214">
            <v>152</v>
          </cell>
          <cell r="E214">
            <v>152</v>
          </cell>
        </row>
        <row r="215">
          <cell r="C215">
            <v>3814</v>
          </cell>
          <cell r="D215">
            <v>3803</v>
          </cell>
          <cell r="E215">
            <v>3803</v>
          </cell>
        </row>
        <row r="216">
          <cell r="C216">
            <v>4794</v>
          </cell>
          <cell r="D216">
            <v>4805</v>
          </cell>
          <cell r="E216">
            <v>4805</v>
          </cell>
        </row>
        <row r="218">
          <cell r="C218">
            <v>522</v>
          </cell>
          <cell r="D218">
            <v>520</v>
          </cell>
          <cell r="E218">
            <v>520</v>
          </cell>
        </row>
        <row r="219">
          <cell r="C219">
            <v>3444</v>
          </cell>
          <cell r="D219">
            <v>3435</v>
          </cell>
          <cell r="E219">
            <v>3435</v>
          </cell>
        </row>
        <row r="220">
          <cell r="C220">
            <v>4794</v>
          </cell>
          <cell r="D220">
            <v>4805</v>
          </cell>
          <cell r="E220">
            <v>4805</v>
          </cell>
        </row>
        <row r="223">
          <cell r="C223">
            <v>0.98852821561988879</v>
          </cell>
          <cell r="D223">
            <v>0.98852821561988879</v>
          </cell>
        </row>
        <row r="224">
          <cell r="C224">
            <v>0.84607233153659178</v>
          </cell>
          <cell r="D224">
            <v>0.84607233153659178</v>
          </cell>
        </row>
        <row r="225">
          <cell r="C225">
            <v>0.84607233153659178</v>
          </cell>
          <cell r="D225">
            <v>0.84607233153659178</v>
          </cell>
        </row>
        <row r="226">
          <cell r="C226">
            <v>0.5644370012833515</v>
          </cell>
          <cell r="D226">
            <v>0.5644370012833515</v>
          </cell>
        </row>
        <row r="227">
          <cell r="C227">
            <v>0.5644370012833515</v>
          </cell>
          <cell r="D227">
            <v>0.5644370012833515</v>
          </cell>
        </row>
        <row r="228">
          <cell r="C228">
            <v>0.84607233153659178</v>
          </cell>
          <cell r="D228">
            <v>0.84607233153659178</v>
          </cell>
        </row>
        <row r="229">
          <cell r="C229">
            <v>0.5644370012833515</v>
          </cell>
          <cell r="D229">
            <v>0.5644370012833515</v>
          </cell>
        </row>
        <row r="230">
          <cell r="C230">
            <v>0.5644370012833515</v>
          </cell>
          <cell r="D230">
            <v>0.5644370012833515</v>
          </cell>
        </row>
        <row r="231">
          <cell r="C231">
            <v>0.5644370012833515</v>
          </cell>
          <cell r="D231">
            <v>0.5644370012833515</v>
          </cell>
        </row>
        <row r="233">
          <cell r="C233">
            <v>1.14717843801112E-2</v>
          </cell>
          <cell r="D233">
            <v>1.14717843801112E-2</v>
          </cell>
        </row>
        <row r="234">
          <cell r="C234">
            <v>7.7281889857334848E-2</v>
          </cell>
          <cell r="D234">
            <v>7.7281889857334848E-2</v>
          </cell>
        </row>
        <row r="235">
          <cell r="C235">
            <v>7.7281889857334848E-2</v>
          </cell>
          <cell r="D235">
            <v>7.7281889857334848E-2</v>
          </cell>
        </row>
        <row r="236">
          <cell r="C236">
            <v>0.33711636601601791</v>
          </cell>
          <cell r="D236">
            <v>0.33711636601601791</v>
          </cell>
        </row>
        <row r="237">
          <cell r="C237">
            <v>0.33711636601601791</v>
          </cell>
          <cell r="D237">
            <v>0.33711636601601791</v>
          </cell>
        </row>
        <row r="238">
          <cell r="C238">
            <v>7.7281889857334848E-2</v>
          </cell>
          <cell r="D238">
            <v>7.7281889857334848E-2</v>
          </cell>
        </row>
        <row r="239">
          <cell r="C239">
            <v>0.33711636601601791</v>
          </cell>
          <cell r="D239">
            <v>0.33711636601601791</v>
          </cell>
        </row>
        <row r="240">
          <cell r="C240">
            <v>0.33711636601601791</v>
          </cell>
          <cell r="D240">
            <v>0.33711636601601791</v>
          </cell>
        </row>
        <row r="241">
          <cell r="C241">
            <v>0.33711636601601791</v>
          </cell>
          <cell r="D241">
            <v>0.33711636601601791</v>
          </cell>
        </row>
        <row r="243">
          <cell r="C243">
            <v>0</v>
          </cell>
          <cell r="D243">
            <v>0</v>
          </cell>
        </row>
        <row r="244">
          <cell r="C244">
            <v>7.664577860607337E-2</v>
          </cell>
          <cell r="D244">
            <v>7.664577860607337E-2</v>
          </cell>
        </row>
        <row r="245">
          <cell r="C245">
            <v>7.664577860607337E-2</v>
          </cell>
          <cell r="D245">
            <v>7.664577860607337E-2</v>
          </cell>
        </row>
        <row r="246">
          <cell r="C246">
            <v>9.8446632700630712E-2</v>
          </cell>
          <cell r="D246">
            <v>9.8446632700630712E-2</v>
          </cell>
        </row>
        <row r="247">
          <cell r="C247">
            <v>9.8446632700630712E-2</v>
          </cell>
          <cell r="D247">
            <v>9.8446632700630712E-2</v>
          </cell>
        </row>
        <row r="248">
          <cell r="C248">
            <v>7.664577860607337E-2</v>
          </cell>
          <cell r="D248">
            <v>7.664577860607337E-2</v>
          </cell>
        </row>
        <row r="249">
          <cell r="C249">
            <v>9.8446632700630712E-2</v>
          </cell>
          <cell r="D249">
            <v>9.8446632700630712E-2</v>
          </cell>
        </row>
        <row r="250">
          <cell r="C250">
            <v>9.8446632700630712E-2</v>
          </cell>
          <cell r="D250">
            <v>9.8446632700630712E-2</v>
          </cell>
        </row>
        <row r="251">
          <cell r="C251">
            <v>9.8446632700630712E-2</v>
          </cell>
          <cell r="D251">
            <v>9.8446632700630712E-2</v>
          </cell>
        </row>
        <row r="253">
          <cell r="C253">
            <v>0.91009304721053841</v>
          </cell>
          <cell r="D253">
            <v>0.91009304721053841</v>
          </cell>
        </row>
        <row r="254">
          <cell r="C254">
            <v>0.76569604095819077</v>
          </cell>
          <cell r="D254">
            <v>0.76569604095819077</v>
          </cell>
        </row>
        <row r="255">
          <cell r="C255">
            <v>0.76569604095819077</v>
          </cell>
          <cell r="D255">
            <v>0.76569604095819077</v>
          </cell>
        </row>
        <row r="256">
          <cell r="C256">
            <v>0.49041823982187349</v>
          </cell>
          <cell r="D256">
            <v>0.49041823982187349</v>
          </cell>
        </row>
        <row r="257">
          <cell r="C257">
            <v>0.49041823982187349</v>
          </cell>
          <cell r="D257">
            <v>0.49041823982187349</v>
          </cell>
        </row>
        <row r="258">
          <cell r="C258">
            <v>0.76569604095819077</v>
          </cell>
          <cell r="D258">
            <v>0.76569604095819077</v>
          </cell>
        </row>
        <row r="259">
          <cell r="C259">
            <v>0.49041823982187349</v>
          </cell>
          <cell r="D259">
            <v>0.49041823982187349</v>
          </cell>
        </row>
        <row r="260">
          <cell r="C260">
            <v>0.49041823982187349</v>
          </cell>
          <cell r="D260">
            <v>0.49041823982187349</v>
          </cell>
        </row>
        <row r="261">
          <cell r="C261">
            <v>0.49041823982187349</v>
          </cell>
          <cell r="D261">
            <v>0.49041823982187349</v>
          </cell>
        </row>
        <row r="263">
          <cell r="C263">
            <v>0.2064484181643807</v>
          </cell>
          <cell r="D263">
            <v>0.2064484181643807</v>
          </cell>
          <cell r="E263">
            <v>0.19278921811900199</v>
          </cell>
          <cell r="F263">
            <v>0.19278921811900199</v>
          </cell>
          <cell r="G263">
            <v>0.19278921811900199</v>
          </cell>
          <cell r="H263">
            <v>0.19278921811900199</v>
          </cell>
          <cell r="I263">
            <v>0.19278921811900199</v>
          </cell>
        </row>
        <row r="264">
          <cell r="C264">
            <v>0.2064484181643807</v>
          </cell>
          <cell r="D264">
            <v>0.2064484181643807</v>
          </cell>
          <cell r="E264">
            <v>0.19278921811900199</v>
          </cell>
          <cell r="F264">
            <v>0.19278921811900199</v>
          </cell>
          <cell r="G264">
            <v>0.19278921811900199</v>
          </cell>
          <cell r="H264">
            <v>0.19278921811900199</v>
          </cell>
          <cell r="I264">
            <v>0.19278921811900199</v>
          </cell>
        </row>
        <row r="265">
          <cell r="C265">
            <v>0.2064484181643807</v>
          </cell>
          <cell r="D265">
            <v>0.2064484181643807</v>
          </cell>
          <cell r="E265">
            <v>0.19278921811900199</v>
          </cell>
          <cell r="F265">
            <v>0.19278921811900199</v>
          </cell>
          <cell r="G265">
            <v>0.19278921811900199</v>
          </cell>
          <cell r="H265">
            <v>0.19278921811900199</v>
          </cell>
          <cell r="I265">
            <v>0.19278921811900199</v>
          </cell>
        </row>
        <row r="266">
          <cell r="C266">
            <v>0.2064484181643807</v>
          </cell>
          <cell r="D266">
            <v>0.2064484181643807</v>
          </cell>
          <cell r="E266">
            <v>0.19278921811900199</v>
          </cell>
          <cell r="F266">
            <v>0.19278921811900199</v>
          </cell>
          <cell r="G266">
            <v>0.19278921811900199</v>
          </cell>
          <cell r="H266">
            <v>0.19278921811900199</v>
          </cell>
          <cell r="I266">
            <v>0.19278921811900199</v>
          </cell>
        </row>
        <row r="267">
          <cell r="C267">
            <v>0.2064484181643807</v>
          </cell>
          <cell r="D267">
            <v>0.2064484181643807</v>
          </cell>
          <cell r="E267">
            <v>0.19278921811900199</v>
          </cell>
          <cell r="F267">
            <v>0.19278921811900199</v>
          </cell>
          <cell r="G267">
            <v>0.19278921811900199</v>
          </cell>
          <cell r="H267">
            <v>0.19278921811900199</v>
          </cell>
          <cell r="I267">
            <v>0.19278921811900199</v>
          </cell>
        </row>
        <row r="268">
          <cell r="C268">
            <v>0.2064484181643807</v>
          </cell>
          <cell r="D268">
            <v>0.2064484181643807</v>
          </cell>
          <cell r="E268">
            <v>0.19278921811900199</v>
          </cell>
          <cell r="F268">
            <v>0.19278921811900199</v>
          </cell>
          <cell r="G268">
            <v>0.19278921811900199</v>
          </cell>
          <cell r="H268">
            <v>0.19278921811900199</v>
          </cell>
          <cell r="I268">
            <v>0.19278921811900199</v>
          </cell>
        </row>
        <row r="269">
          <cell r="C269">
            <v>0.2064484181643807</v>
          </cell>
          <cell r="D269">
            <v>0.2064484181643807</v>
          </cell>
          <cell r="E269">
            <v>0.19278921811900199</v>
          </cell>
          <cell r="F269">
            <v>0.19278921811900199</v>
          </cell>
          <cell r="G269">
            <v>0.19278921811900199</v>
          </cell>
          <cell r="H269">
            <v>0.19278921811900199</v>
          </cell>
          <cell r="I269">
            <v>0.19278921811900199</v>
          </cell>
        </row>
        <row r="270">
          <cell r="C270">
            <v>0.2064484181643807</v>
          </cell>
          <cell r="D270">
            <v>0.2064484181643807</v>
          </cell>
          <cell r="E270">
            <v>0.19278921811900199</v>
          </cell>
          <cell r="F270">
            <v>0.19278921811900199</v>
          </cell>
          <cell r="G270">
            <v>0.19278921811900199</v>
          </cell>
          <cell r="H270">
            <v>0.19278921811900199</v>
          </cell>
          <cell r="I270">
            <v>0.19278921811900199</v>
          </cell>
        </row>
        <row r="271">
          <cell r="C271">
            <v>0.2064484181643807</v>
          </cell>
          <cell r="D271">
            <v>0.2064484181643807</v>
          </cell>
          <cell r="E271">
            <v>0.19278921811900199</v>
          </cell>
          <cell r="F271">
            <v>0.19278921811900199</v>
          </cell>
          <cell r="G271">
            <v>0.19278921811900199</v>
          </cell>
          <cell r="H271">
            <v>0.19278921811900199</v>
          </cell>
          <cell r="I271">
            <v>0.19278921811900199</v>
          </cell>
        </row>
      </sheetData>
      <sheetData sheetId="3">
        <row r="8">
          <cell r="D8">
            <v>291.89999999999998</v>
          </cell>
          <cell r="E8">
            <v>296.5</v>
          </cell>
          <cell r="F8">
            <v>299.5</v>
          </cell>
          <cell r="G8">
            <v>302.5</v>
          </cell>
          <cell r="H8">
            <v>305.5</v>
          </cell>
          <cell r="I8">
            <v>308.60000000000002</v>
          </cell>
          <cell r="J8">
            <v>311.7</v>
          </cell>
        </row>
        <row r="9">
          <cell r="D9">
            <v>-1.7474382405404754</v>
          </cell>
          <cell r="E9">
            <v>-3.9897041526029398</v>
          </cell>
          <cell r="F9">
            <v>-7.8690744138762465</v>
          </cell>
          <cell r="G9">
            <v>-9.3843212134901819</v>
          </cell>
          <cell r="H9">
            <v>-14.984143860869015</v>
          </cell>
          <cell r="I9">
            <v>-18.27543879072703</v>
          </cell>
          <cell r="J9">
            <v>-21.535610202349641</v>
          </cell>
        </row>
        <row r="10">
          <cell r="D10">
            <v>0</v>
          </cell>
          <cell r="E10">
            <v>-6.3265570245591984</v>
          </cell>
          <cell r="F10">
            <v>-0.89045522307035885</v>
          </cell>
          <cell r="G10">
            <v>0</v>
          </cell>
          <cell r="H10">
            <v>0</v>
          </cell>
          <cell r="I10">
            <v>0</v>
          </cell>
          <cell r="J10">
            <v>0</v>
          </cell>
        </row>
        <row r="11">
          <cell r="D11">
            <v>1.087</v>
          </cell>
          <cell r="E11">
            <v>1.121</v>
          </cell>
          <cell r="F11">
            <v>1.155</v>
          </cell>
          <cell r="G11">
            <v>1.19</v>
          </cell>
          <cell r="H11">
            <v>1.2270000000000001</v>
          </cell>
          <cell r="I11">
            <v>1.2629999999999999</v>
          </cell>
          <cell r="J11">
            <v>1.302</v>
          </cell>
        </row>
        <row r="13">
          <cell r="D13">
            <v>0</v>
          </cell>
          <cell r="E13">
            <v>0.13172712971471864</v>
          </cell>
          <cell r="F13">
            <v>-5.3809985730633711E-2</v>
          </cell>
          <cell r="G13">
            <v>-5.5277747608887817E-2</v>
          </cell>
          <cell r="H13">
            <v>-5.6757779701998079E-2</v>
          </cell>
          <cell r="I13">
            <v>-5.8116990568747348E-2</v>
          </cell>
          <cell r="J13">
            <v>-5.9630584062133805E-2</v>
          </cell>
        </row>
        <row r="14">
          <cell r="D14">
            <v>0</v>
          </cell>
          <cell r="E14">
            <v>0.27798473304118337</v>
          </cell>
          <cell r="F14">
            <v>2.5643473277667098E-2</v>
          </cell>
          <cell r="G14">
            <v>1.0260815200457714</v>
          </cell>
          <cell r="H14">
            <v>-2.6595009609896181</v>
          </cell>
          <cell r="I14">
            <v>-4.914388392010391</v>
          </cell>
          <cell r="J14">
            <v>-5.0777869640626019</v>
          </cell>
        </row>
        <row r="15">
          <cell r="D15">
            <v>0</v>
          </cell>
          <cell r="E15">
            <v>-1.1195775137166488</v>
          </cell>
          <cell r="F15">
            <v>-1.6792899308203617</v>
          </cell>
          <cell r="G15">
            <v>-1.7776087987064944</v>
          </cell>
          <cell r="H15">
            <v>-1.8229208079514558</v>
          </cell>
          <cell r="I15">
            <v>-1.9005113259736324</v>
          </cell>
          <cell r="J15">
            <v>-1.9390228095927959</v>
          </cell>
        </row>
        <row r="16">
          <cell r="D16">
            <v>0</v>
          </cell>
          <cell r="E16">
            <v>-9.7767516421823283E-2</v>
          </cell>
          <cell r="F16">
            <v>0.20371195492891914</v>
          </cell>
          <cell r="G16">
            <v>8.7040500603522877E-2</v>
          </cell>
          <cell r="H16">
            <v>8.5642231887560621E-2</v>
          </cell>
          <cell r="I16">
            <v>9.0592133274083941E-2</v>
          </cell>
          <cell r="J16">
            <v>0.1123356874549206</v>
          </cell>
        </row>
        <row r="17">
          <cell r="D17">
            <v>0</v>
          </cell>
          <cell r="E17">
            <v>-0.1912503570261522</v>
          </cell>
          <cell r="F17">
            <v>-0.33821637673007843</v>
          </cell>
          <cell r="G17">
            <v>7.6197454728810246E-2</v>
          </cell>
          <cell r="H17">
            <v>-0.25935775542709927</v>
          </cell>
          <cell r="I17">
            <v>0.35984581804251875</v>
          </cell>
          <cell r="J17">
            <v>-0.55620870303323422</v>
          </cell>
        </row>
        <row r="18">
          <cell r="D18">
            <v>0</v>
          </cell>
          <cell r="E18">
            <v>2.4510744792598415E-2</v>
          </cell>
          <cell r="F18">
            <v>2.5202019127367963E-2</v>
          </cell>
          <cell r="G18">
            <v>2.5889448466512407E-2</v>
          </cell>
          <cell r="H18">
            <v>2.6582624586394727E-2</v>
          </cell>
          <cell r="I18">
            <v>2.7219213832736792E-2</v>
          </cell>
          <cell r="J18">
            <v>2.7928108504486699E-2</v>
          </cell>
        </row>
        <row r="19">
          <cell r="D19">
            <v>0</v>
          </cell>
          <cell r="E19">
            <v>0</v>
          </cell>
          <cell r="F19">
            <v>0</v>
          </cell>
          <cell r="G19">
            <v>0</v>
          </cell>
          <cell r="H19">
            <v>0</v>
          </cell>
          <cell r="I19">
            <v>0</v>
          </cell>
          <cell r="J19">
            <v>0</v>
          </cell>
        </row>
        <row r="21">
          <cell r="D21">
            <v>2.1672247828499995</v>
          </cell>
          <cell r="E21">
            <v>3.9852987752562572</v>
          </cell>
          <cell r="F21">
            <v>4.0739716730057092</v>
          </cell>
          <cell r="G21">
            <v>4.2133824076118289</v>
          </cell>
          <cell r="H21">
            <v>4.3411745591361841</v>
          </cell>
          <cell r="I21">
            <v>4.4727253033524317</v>
          </cell>
          <cell r="J21">
            <v>4.6117932329524658</v>
          </cell>
        </row>
        <row r="22">
          <cell r="D22">
            <v>5.8106222910786931</v>
          </cell>
          <cell r="E22">
            <v>5.8245798217247611</v>
          </cell>
          <cell r="F22">
            <v>5.2440743208999194</v>
          </cell>
          <cell r="G22">
            <v>5.154698589030807</v>
          </cell>
          <cell r="H22">
            <v>5.2028002261291144</v>
          </cell>
          <cell r="I22">
            <v>5.8211662574468281</v>
          </cell>
          <cell r="J22">
            <v>5.6081449180057517</v>
          </cell>
        </row>
        <row r="23">
          <cell r="D23">
            <v>0</v>
          </cell>
          <cell r="E23">
            <v>0</v>
          </cell>
          <cell r="F23">
            <v>0</v>
          </cell>
          <cell r="G23">
            <v>0</v>
          </cell>
          <cell r="H23">
            <v>0</v>
          </cell>
          <cell r="I23">
            <v>0</v>
          </cell>
          <cell r="J23">
            <v>0</v>
          </cell>
        </row>
        <row r="24">
          <cell r="D24">
            <v>0</v>
          </cell>
          <cell r="E24">
            <v>1.2039896658833147</v>
          </cell>
          <cell r="F24">
            <v>1.2307784359492187</v>
          </cell>
          <cell r="G24">
            <v>1.2728955000000002</v>
          </cell>
          <cell r="H24">
            <v>1.3115025000000002</v>
          </cell>
          <cell r="I24">
            <v>0</v>
          </cell>
          <cell r="J24">
            <v>0</v>
          </cell>
        </row>
        <row r="25">
          <cell r="D25">
            <v>0</v>
          </cell>
          <cell r="E25">
            <v>4.4839999999999998E-2</v>
          </cell>
          <cell r="F25">
            <v>0</v>
          </cell>
          <cell r="G25">
            <v>4.7599999999999996E-2</v>
          </cell>
          <cell r="H25">
            <v>0</v>
          </cell>
          <cell r="I25">
            <v>5.0519999999999995E-2</v>
          </cell>
          <cell r="J25">
            <v>0</v>
          </cell>
        </row>
        <row r="26">
          <cell r="D26">
            <v>0.73872232199999999</v>
          </cell>
          <cell r="E26">
            <v>0.96033901859999993</v>
          </cell>
          <cell r="F26">
            <v>1.4234407241800004</v>
          </cell>
          <cell r="G26">
            <v>1.3982536110816004</v>
          </cell>
          <cell r="H26">
            <v>1.5660440444113926</v>
          </cell>
          <cell r="I26">
            <v>1.7539693297407597</v>
          </cell>
          <cell r="J26">
            <v>1.7535723967666839</v>
          </cell>
        </row>
        <row r="27">
          <cell r="D27">
            <v>0</v>
          </cell>
          <cell r="E27">
            <v>0</v>
          </cell>
          <cell r="F27">
            <v>0</v>
          </cell>
          <cell r="G27">
            <v>0</v>
          </cell>
          <cell r="H27">
            <v>0</v>
          </cell>
          <cell r="I27">
            <v>0</v>
          </cell>
          <cell r="J27">
            <v>0</v>
          </cell>
        </row>
        <row r="28">
          <cell r="D28">
            <v>5.799675E-2</v>
          </cell>
          <cell r="E28">
            <v>0.23256856959787559</v>
          </cell>
          <cell r="F28">
            <v>0.23256856959787559</v>
          </cell>
          <cell r="G28">
            <v>0.23256856959787559</v>
          </cell>
          <cell r="H28">
            <v>0.23256856959787559</v>
          </cell>
          <cell r="I28">
            <v>0.23256856959787559</v>
          </cell>
          <cell r="J28">
            <v>0.23256856959787559</v>
          </cell>
        </row>
        <row r="29">
          <cell r="D29">
            <v>0</v>
          </cell>
          <cell r="E29">
            <v>0</v>
          </cell>
          <cell r="F29">
            <v>0</v>
          </cell>
          <cell r="G29">
            <v>0</v>
          </cell>
          <cell r="H29">
            <v>0</v>
          </cell>
          <cell r="I29">
            <v>0</v>
          </cell>
          <cell r="J29">
            <v>0</v>
          </cell>
        </row>
        <row r="30">
          <cell r="D30">
            <v>-1.9100856947630691</v>
          </cell>
          <cell r="E30">
            <v>0</v>
          </cell>
          <cell r="F30">
            <v>0</v>
          </cell>
          <cell r="G30">
            <v>0</v>
          </cell>
          <cell r="H30">
            <v>0</v>
          </cell>
          <cell r="I30">
            <v>0</v>
          </cell>
          <cell r="J30">
            <v>0</v>
          </cell>
        </row>
        <row r="31">
          <cell r="D31">
            <v>0</v>
          </cell>
          <cell r="E31">
            <v>0</v>
          </cell>
          <cell r="F31">
            <v>0</v>
          </cell>
          <cell r="G31">
            <v>0</v>
          </cell>
          <cell r="H31">
            <v>0</v>
          </cell>
          <cell r="I31">
            <v>0</v>
          </cell>
          <cell r="J31">
            <v>0</v>
          </cell>
        </row>
        <row r="33">
          <cell r="D33">
            <v>21.218210269698869</v>
          </cell>
          <cell r="E33">
            <v>2.9157579747291433</v>
          </cell>
          <cell r="F33">
            <v>-4.6297972691977378</v>
          </cell>
          <cell r="G33">
            <v>-3.2998570465177108</v>
          </cell>
          <cell r="H33">
            <v>0</v>
          </cell>
          <cell r="I33">
            <v>0</v>
          </cell>
          <cell r="J33">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2">
          <cell r="D42">
            <v>6.1170849438874697</v>
          </cell>
          <cell r="E42">
            <v>5.9569394183951996</v>
          </cell>
          <cell r="F42">
            <v>5.6903166272655286</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7.5327249854999998</v>
          </cell>
          <cell r="E45">
            <v>0</v>
          </cell>
          <cell r="F45">
            <v>0</v>
          </cell>
          <cell r="G45">
            <v>0</v>
          </cell>
          <cell r="H45">
            <v>0</v>
          </cell>
          <cell r="I45">
            <v>0</v>
          </cell>
          <cell r="J45">
            <v>0</v>
          </cell>
        </row>
        <row r="49">
          <cell r="D49">
            <v>347.94677671804845</v>
          </cell>
          <cell r="E49">
            <v>338.19229683504864</v>
          </cell>
          <cell r="F49">
            <v>341.56352087781454</v>
          </cell>
          <cell r="G49">
            <v>357.20952176428028</v>
          </cell>
          <cell r="H49">
            <v>364.4307329343921</v>
          </cell>
          <cell r="I49">
            <v>372.61551072404626</v>
          </cell>
          <cell r="J49">
            <v>382.50772936907219</v>
          </cell>
        </row>
      </sheetData>
      <sheetData sheetId="4">
        <row r="7">
          <cell r="B7" t="str">
            <v>2015/16</v>
          </cell>
        </row>
        <row r="8">
          <cell r="B8" t="str">
            <v>2014/15</v>
          </cell>
        </row>
        <row r="9">
          <cell r="B9" t="str">
            <v>2013/14</v>
          </cell>
        </row>
        <row r="15">
          <cell r="B15">
            <v>0.89727567574434008</v>
          </cell>
          <cell r="C15">
            <v>0.92087385546580092</v>
          </cell>
          <cell r="D15">
            <v>0.93021050789706161</v>
          </cell>
        </row>
        <row r="16">
          <cell r="B16">
            <v>0.32296179926904917</v>
          </cell>
          <cell r="C16">
            <v>0.33573137379787638</v>
          </cell>
          <cell r="D16">
            <v>0.36883873134256717</v>
          </cell>
        </row>
        <row r="18">
          <cell r="B18">
            <v>0.66240998343172774</v>
          </cell>
          <cell r="C18">
            <v>0.61093354138886535</v>
          </cell>
          <cell r="D18">
            <v>0.63408722091364156</v>
          </cell>
        </row>
        <row r="19">
          <cell r="B19">
            <v>0.61610362611445812</v>
          </cell>
          <cell r="C19">
            <v>0.60190631290118624</v>
          </cell>
          <cell r="D19">
            <v>0.54720640962566258</v>
          </cell>
        </row>
        <row r="21">
          <cell r="B21">
            <v>0.85769267927670201</v>
          </cell>
          <cell r="C21">
            <v>0.84846005737562835</v>
          </cell>
          <cell r="D21">
            <v>0.86950122479927117</v>
          </cell>
        </row>
        <row r="22">
          <cell r="B22">
            <v>0.82193547287129343</v>
          </cell>
          <cell r="C22">
            <v>0.83800405500326181</v>
          </cell>
          <cell r="D22">
            <v>0.85475472383600748</v>
          </cell>
        </row>
        <row r="23">
          <cell r="B23">
            <v>0.7829041185752752</v>
          </cell>
          <cell r="C23">
            <v>0.65214803530496201</v>
          </cell>
          <cell r="D23">
            <v>0.5546101864630415</v>
          </cell>
        </row>
        <row r="24">
          <cell r="B24">
            <v>0.80703454120090856</v>
          </cell>
          <cell r="C24">
            <v>0.82893123736410435</v>
          </cell>
          <cell r="D24">
            <v>0.84200294737659276</v>
          </cell>
        </row>
        <row r="25">
          <cell r="B25">
            <v>0.65310017938310305</v>
          </cell>
          <cell r="C25">
            <v>0.6091186344691385</v>
          </cell>
          <cell r="D25">
            <v>0.6166200009564593</v>
          </cell>
        </row>
        <row r="26">
          <cell r="B26">
            <v>0.81720819530006816</v>
          </cell>
          <cell r="C26">
            <v>0.80062031248088283</v>
          </cell>
          <cell r="D26">
            <v>0.79203517707678295</v>
          </cell>
        </row>
        <row r="27">
          <cell r="B27">
            <v>0.77063094144286282</v>
          </cell>
          <cell r="C27">
            <v>0.77163900542720831</v>
          </cell>
          <cell r="D27">
            <v>0.75518820666952902</v>
          </cell>
        </row>
        <row r="28">
          <cell r="B28">
            <v>0.79125042432202763</v>
          </cell>
          <cell r="C28">
            <v>0.82309045908693979</v>
          </cell>
          <cell r="D28">
            <v>0.78738790928143598</v>
          </cell>
        </row>
        <row r="29">
          <cell r="B29">
            <v>1</v>
          </cell>
          <cell r="C29">
            <v>1</v>
          </cell>
          <cell r="D29">
            <v>1</v>
          </cell>
        </row>
        <row r="30">
          <cell r="B30">
            <v>1</v>
          </cell>
          <cell r="C30">
            <v>0.95162790697674415</v>
          </cell>
          <cell r="D30">
            <v>1</v>
          </cell>
        </row>
        <row r="31">
          <cell r="B31">
            <v>1</v>
          </cell>
          <cell r="C31">
            <v>0.64222674813306169</v>
          </cell>
          <cell r="D31">
            <v>0.99929078014184403</v>
          </cell>
        </row>
        <row r="32">
          <cell r="B32">
            <v>0</v>
          </cell>
          <cell r="C32">
            <v>0</v>
          </cell>
          <cell r="D32">
            <v>0</v>
          </cell>
        </row>
        <row r="33">
          <cell r="B33">
            <v>0.98269733874605314</v>
          </cell>
          <cell r="C33">
            <v>0.96426867872165123</v>
          </cell>
          <cell r="D33">
            <v>0.96715763288819057</v>
          </cell>
        </row>
        <row r="42">
          <cell r="B42">
            <v>0.42817545203939983</v>
          </cell>
          <cell r="C42">
            <v>0.41078784297915871</v>
          </cell>
          <cell r="D42">
            <v>0.41488216694122915</v>
          </cell>
        </row>
        <row r="43">
          <cell r="B43">
            <v>0.26158483764265861</v>
          </cell>
          <cell r="C43">
            <v>0.24927031226003521</v>
          </cell>
          <cell r="D43">
            <v>0.26276290669130192</v>
          </cell>
        </row>
        <row r="44">
          <cell r="B44">
            <v>0.14918148342187565</v>
          </cell>
          <cell r="C44">
            <v>0.13787510864683999</v>
          </cell>
          <cell r="D44">
            <v>0.14518903325683943</v>
          </cell>
        </row>
        <row r="45">
          <cell r="B45">
            <v>0.39607699089138138</v>
          </cell>
          <cell r="C45">
            <v>0.3887980997811244</v>
          </cell>
          <cell r="D45">
            <v>0.39017458828724094</v>
          </cell>
        </row>
        <row r="46">
          <cell r="B46">
            <v>0.45567525146508042</v>
          </cell>
          <cell r="C46">
            <v>0.44657461514444768</v>
          </cell>
          <cell r="D46">
            <v>0.38376767413029117</v>
          </cell>
        </row>
        <row r="47">
          <cell r="B47">
            <v>0.15271962209277989</v>
          </cell>
          <cell r="C47">
            <v>0.14937449127148156</v>
          </cell>
          <cell r="D47">
            <v>0.15673802292024264</v>
          </cell>
        </row>
        <row r="48">
          <cell r="B48">
            <v>0.59095364055262578</v>
          </cell>
          <cell r="C48">
            <v>0.59477130454259375</v>
          </cell>
          <cell r="D48">
            <v>0.59507957880751239</v>
          </cell>
        </row>
        <row r="49">
          <cell r="B49">
            <v>0.59266758794984331</v>
          </cell>
          <cell r="C49">
            <v>0.60456061173571707</v>
          </cell>
          <cell r="D49">
            <v>0.60304196757694351</v>
          </cell>
        </row>
        <row r="50">
          <cell r="B50">
            <v>0.50673947772256167</v>
          </cell>
          <cell r="C50">
            <v>0.45956693354655154</v>
          </cell>
          <cell r="D50">
            <v>0.39841885111829217</v>
          </cell>
        </row>
        <row r="51">
          <cell r="B51">
            <v>0.39914994060981368</v>
          </cell>
          <cell r="C51">
            <v>0.38261901216382821</v>
          </cell>
          <cell r="D51">
            <v>0.38820971598887649</v>
          </cell>
        </row>
        <row r="52">
          <cell r="B52">
            <v>0.40176282338607261</v>
          </cell>
          <cell r="C52">
            <v>0.39422370582287447</v>
          </cell>
          <cell r="D52">
            <v>0.3831620625760439</v>
          </cell>
        </row>
        <row r="53">
          <cell r="B53">
            <v>0.58872974866246663</v>
          </cell>
          <cell r="C53">
            <v>0.59437114350842735</v>
          </cell>
          <cell r="D53">
            <v>0.57964008143666268</v>
          </cell>
        </row>
        <row r="54">
          <cell r="B54">
            <v>0.60536941575275505</v>
          </cell>
          <cell r="C54">
            <v>0.61480517234447374</v>
          </cell>
          <cell r="D54">
            <v>0.6143769395736145</v>
          </cell>
        </row>
        <row r="55">
          <cell r="B55">
            <v>0.71131270246632472</v>
          </cell>
          <cell r="C55">
            <v>0.7304466797782575</v>
          </cell>
          <cell r="D55">
            <v>0.72685645661896148</v>
          </cell>
        </row>
        <row r="56">
          <cell r="B56">
            <v>1</v>
          </cell>
          <cell r="C56">
            <v>1</v>
          </cell>
          <cell r="D56">
            <v>1</v>
          </cell>
        </row>
        <row r="57">
          <cell r="B57">
            <v>0.47215814287665242</v>
          </cell>
          <cell r="C57">
            <v>0.48229356482958868</v>
          </cell>
          <cell r="D57">
            <v>0.47041265961703682</v>
          </cell>
        </row>
        <row r="58">
          <cell r="B58">
            <v>0.24519825012414881</v>
          </cell>
          <cell r="C58">
            <v>0.24780814942945337</v>
          </cell>
          <cell r="D58">
            <v>0.24594204969708353</v>
          </cell>
        </row>
        <row r="59">
          <cell r="B59">
            <v>0.51524303477250144</v>
          </cell>
          <cell r="C59">
            <v>0.51524303477250144</v>
          </cell>
          <cell r="D59">
            <v>0.51531174707368965</v>
          </cell>
        </row>
        <row r="60">
          <cell r="B60">
            <v>0.4594852598812692</v>
          </cell>
          <cell r="C60">
            <v>0.45484284808833692</v>
          </cell>
          <cell r="D60">
            <v>0.45215072237047932</v>
          </cell>
        </row>
        <row r="70">
          <cell r="B70">
            <v>8.8633658531293041E-2</v>
          </cell>
          <cell r="C70">
            <v>0.46258757930687272</v>
          </cell>
          <cell r="D70">
            <v>0.44877876216183421</v>
          </cell>
          <cell r="E70">
            <v>8.8651284973157871E-2</v>
          </cell>
          <cell r="F70">
            <v>0.46256632781351531</v>
          </cell>
          <cell r="G70">
            <v>0.44878238721332686</v>
          </cell>
          <cell r="H70">
            <v>8.8935657434831242E-2</v>
          </cell>
          <cell r="I70">
            <v>0.46203288171424156</v>
          </cell>
          <cell r="J70">
            <v>0.44903146085092721</v>
          </cell>
        </row>
        <row r="71">
          <cell r="B71">
            <v>0.10719932764583059</v>
          </cell>
          <cell r="C71">
            <v>0.53514901431178241</v>
          </cell>
          <cell r="D71">
            <v>0.35765165804238702</v>
          </cell>
          <cell r="E71">
            <v>0.10711653937170963</v>
          </cell>
          <cell r="F71">
            <v>0.54029557584290355</v>
          </cell>
          <cell r="G71">
            <v>0.35258788478538688</v>
          </cell>
          <cell r="H71">
            <v>0.1082316902049959</v>
          </cell>
          <cell r="I71">
            <v>0.54242522160109119</v>
          </cell>
          <cell r="J71">
            <v>0.34934308819391297</v>
          </cell>
        </row>
        <row r="72">
          <cell r="B72">
            <v>1.3327927989874372E-3</v>
          </cell>
          <cell r="C72">
            <v>0.10944470229651758</v>
          </cell>
          <cell r="D72">
            <v>0.88922250490449495</v>
          </cell>
          <cell r="E72">
            <v>1.3182436984820142E-3</v>
          </cell>
          <cell r="F72">
            <v>0.10774520854012629</v>
          </cell>
          <cell r="G72">
            <v>0.89093654776139175</v>
          </cell>
          <cell r="H72">
            <v>1.3891993544272716E-3</v>
          </cell>
          <cell r="I72">
            <v>0.10892649976643355</v>
          </cell>
          <cell r="J72">
            <v>0.88968430087913919</v>
          </cell>
        </row>
        <row r="73">
          <cell r="B73">
            <v>6.231796659933253E-2</v>
          </cell>
          <cell r="C73">
            <v>0.57097011493050587</v>
          </cell>
          <cell r="D73">
            <v>0.36671191847016166</v>
          </cell>
          <cell r="E73">
            <v>6.2507991660096587E-2</v>
          </cell>
          <cell r="F73">
            <v>0.56375385971998759</v>
          </cell>
          <cell r="G73">
            <v>0.37373814861991589</v>
          </cell>
          <cell r="H73">
            <v>6.3034181392934568E-2</v>
          </cell>
          <cell r="I73">
            <v>0.56316487055218734</v>
          </cell>
          <cell r="J73">
            <v>0.37380094805487812</v>
          </cell>
        </row>
        <row r="74">
          <cell r="B74">
            <v>7.9765198610142765E-2</v>
          </cell>
          <cell r="C74">
            <v>0.63232996792236296</v>
          </cell>
          <cell r="D74">
            <v>0.28790483346749424</v>
          </cell>
          <cell r="E74">
            <v>8.0848326562576553E-2</v>
          </cell>
          <cell r="F74">
            <v>0.63175018687539986</v>
          </cell>
          <cell r="G74">
            <v>0.28740148656202363</v>
          </cell>
          <cell r="H74">
            <v>8.2856098450982504E-2</v>
          </cell>
          <cell r="I74">
            <v>0.62790217750245303</v>
          </cell>
          <cell r="J74">
            <v>0.28924172404656445</v>
          </cell>
        </row>
        <row r="75">
          <cell r="B75">
            <v>1.9652341460504714E-3</v>
          </cell>
          <cell r="C75">
            <v>0.11674615149038388</v>
          </cell>
          <cell r="D75">
            <v>0.88128861436356565</v>
          </cell>
          <cell r="E75">
            <v>2.151015160640291E-3</v>
          </cell>
          <cell r="F75">
            <v>0.11716048972620575</v>
          </cell>
          <cell r="G75">
            <v>0.88068849511315395</v>
          </cell>
          <cell r="H75">
            <v>2.2164074740512424E-3</v>
          </cell>
          <cell r="I75">
            <v>0.12017300556284732</v>
          </cell>
          <cell r="J75">
            <v>0.87761058696310146</v>
          </cell>
        </row>
        <row r="76">
          <cell r="B76">
            <v>8.2776429616734273E-2</v>
          </cell>
          <cell r="C76">
            <v>0.62007832420743692</v>
          </cell>
          <cell r="D76">
            <v>0.29714524617582877</v>
          </cell>
          <cell r="E76">
            <v>8.2824488551072425E-2</v>
          </cell>
          <cell r="F76">
            <v>0.62042125231763512</v>
          </cell>
          <cell r="G76">
            <v>0.29675425913129244</v>
          </cell>
          <cell r="H76">
            <v>8.3309825637061977E-2</v>
          </cell>
          <cell r="I76">
            <v>0.62058372588951494</v>
          </cell>
          <cell r="J76">
            <v>0.2961064484734231</v>
          </cell>
        </row>
        <row r="77">
          <cell r="B77">
            <v>8.1348201084055438E-2</v>
          </cell>
          <cell r="C77">
            <v>0.6191741980827723</v>
          </cell>
          <cell r="D77">
            <v>0.29947760083317226</v>
          </cell>
          <cell r="E77">
            <v>8.1635475106064559E-2</v>
          </cell>
          <cell r="F77">
            <v>0.61763588702645311</v>
          </cell>
          <cell r="G77">
            <v>0.30072863786748233</v>
          </cell>
          <cell r="H77">
            <v>8.2682134060492921E-2</v>
          </cell>
          <cell r="I77">
            <v>0.61886511474861716</v>
          </cell>
          <cell r="J77">
            <v>0.29845275119088993</v>
          </cell>
        </row>
        <row r="78">
          <cell r="B78">
            <v>8.3595484900230083E-2</v>
          </cell>
          <cell r="C78">
            <v>0.63470301514386274</v>
          </cell>
          <cell r="D78">
            <v>0.28170149995590721</v>
          </cell>
          <cell r="E78">
            <v>8.1826561946670887E-2</v>
          </cell>
          <cell r="F78">
            <v>0.63601593632632669</v>
          </cell>
          <cell r="G78">
            <v>0.28215750172700244</v>
          </cell>
          <cell r="H78">
            <v>8.1028622874699474E-2</v>
          </cell>
          <cell r="I78">
            <v>0.64795704553544242</v>
          </cell>
          <cell r="J78">
            <v>0.2710143315898581</v>
          </cell>
        </row>
        <row r="88">
          <cell r="B88">
            <v>0</v>
          </cell>
          <cell r="C88">
            <v>2.0650013148362647E-2</v>
          </cell>
          <cell r="D88">
            <v>0.97934998685163732</v>
          </cell>
          <cell r="E88">
            <v>0</v>
          </cell>
          <cell r="F88">
            <v>2.0668196837755004E-2</v>
          </cell>
          <cell r="G88">
            <v>0.979331803162245</v>
          </cell>
          <cell r="H88">
            <v>0</v>
          </cell>
          <cell r="I88">
            <v>2.162457947874652E-2</v>
          </cell>
          <cell r="J88">
            <v>0.97837542052125348</v>
          </cell>
        </row>
        <row r="89">
          <cell r="B89">
            <v>0</v>
          </cell>
          <cell r="C89">
            <v>2.4996320169459102E-2</v>
          </cell>
          <cell r="D89">
            <v>0.97500367983054093</v>
          </cell>
          <cell r="E89">
            <v>0</v>
          </cell>
          <cell r="F89">
            <v>2.615517998092344E-2</v>
          </cell>
          <cell r="G89">
            <v>0.97384482001907657</v>
          </cell>
          <cell r="H89">
            <v>0</v>
          </cell>
          <cell r="I89">
            <v>2.818228425609156E-2</v>
          </cell>
          <cell r="J89">
            <v>0.97181771574390841</v>
          </cell>
        </row>
        <row r="90">
          <cell r="B90">
            <v>0</v>
          </cell>
          <cell r="C90">
            <v>0</v>
          </cell>
          <cell r="D90">
            <v>1</v>
          </cell>
          <cell r="E90">
            <v>0</v>
          </cell>
          <cell r="F90">
            <v>0</v>
          </cell>
          <cell r="G90">
            <v>1</v>
          </cell>
          <cell r="H90">
            <v>0</v>
          </cell>
          <cell r="I90">
            <v>0</v>
          </cell>
          <cell r="J90">
            <v>1</v>
          </cell>
        </row>
        <row r="91">
          <cell r="B91">
            <v>0</v>
          </cell>
          <cell r="C91">
            <v>0</v>
          </cell>
          <cell r="D91">
            <v>1</v>
          </cell>
          <cell r="E91">
            <v>0</v>
          </cell>
          <cell r="F91">
            <v>0</v>
          </cell>
          <cell r="G91">
            <v>1</v>
          </cell>
          <cell r="H91">
            <v>0</v>
          </cell>
          <cell r="I91">
            <v>0</v>
          </cell>
          <cell r="J91">
            <v>1</v>
          </cell>
        </row>
        <row r="92">
          <cell r="B92">
            <v>0</v>
          </cell>
          <cell r="C92">
            <v>0</v>
          </cell>
          <cell r="D92">
            <v>1</v>
          </cell>
          <cell r="E92">
            <v>0</v>
          </cell>
          <cell r="F92">
            <v>0</v>
          </cell>
          <cell r="G92">
            <v>1</v>
          </cell>
          <cell r="H92">
            <v>0</v>
          </cell>
          <cell r="I92">
            <v>0</v>
          </cell>
          <cell r="J92">
            <v>1</v>
          </cell>
        </row>
        <row r="102">
          <cell r="B102">
            <v>1.7579908675799085E-2</v>
          </cell>
          <cell r="C102">
            <v>0.4351598173515982</v>
          </cell>
          <cell r="D102">
            <v>0.54726027397260268</v>
          </cell>
          <cell r="E102">
            <v>1.7123287671232876E-2</v>
          </cell>
          <cell r="F102">
            <v>0.43561643835616437</v>
          </cell>
          <cell r="G102">
            <v>0.54726027397260268</v>
          </cell>
          <cell r="H102">
            <v>1.7304189435336976E-2</v>
          </cell>
          <cell r="I102">
            <v>0.43579234972677594</v>
          </cell>
          <cell r="J102">
            <v>0.5469034608378871</v>
          </cell>
        </row>
        <row r="103">
          <cell r="B103">
            <v>3.3534048697363594E-2</v>
          </cell>
          <cell r="C103">
            <v>0.14750967957958483</v>
          </cell>
          <cell r="D103">
            <v>0.81895627172305163</v>
          </cell>
          <cell r="E103">
            <v>3.2029480798388264E-2</v>
          </cell>
          <cell r="F103">
            <v>0.1606062570991684</v>
          </cell>
          <cell r="G103">
            <v>0.80736426210244339</v>
          </cell>
          <cell r="H103">
            <v>3.2978378655542866E-2</v>
          </cell>
          <cell r="I103">
            <v>0.14717309505732454</v>
          </cell>
          <cell r="J103">
            <v>0.81984852628713256</v>
          </cell>
        </row>
        <row r="104">
          <cell r="B104">
            <v>6.0911889255264313E-2</v>
          </cell>
          <cell r="C104">
            <v>0.25402918135765712</v>
          </cell>
          <cell r="D104">
            <v>0.68505892938707846</v>
          </cell>
          <cell r="E104">
            <v>5.8085822514630257E-2</v>
          </cell>
          <cell r="F104">
            <v>0.2400809985653248</v>
          </cell>
          <cell r="G104">
            <v>0.70183317892004493</v>
          </cell>
          <cell r="H104">
            <v>5.8823075601084046E-2</v>
          </cell>
          <cell r="I104">
            <v>0.25023435700824692</v>
          </cell>
          <cell r="J104">
            <v>0.69094256739066895</v>
          </cell>
        </row>
        <row r="105">
          <cell r="B105">
            <v>2.5313530040209685E-3</v>
          </cell>
          <cell r="C105">
            <v>0.69922108417869133</v>
          </cell>
          <cell r="D105">
            <v>0.29824756281728776</v>
          </cell>
          <cell r="E105">
            <v>2.3787031428283856E-3</v>
          </cell>
          <cell r="F105">
            <v>0.69941098550137093</v>
          </cell>
          <cell r="G105">
            <v>0.29821031135580056</v>
          </cell>
          <cell r="H105">
            <v>2.4378130204323954E-3</v>
          </cell>
          <cell r="I105">
            <v>0.70008938044431135</v>
          </cell>
          <cell r="J105">
            <v>0.29747280653525621</v>
          </cell>
        </row>
        <row r="115">
          <cell r="B115">
            <v>1</v>
          </cell>
          <cell r="C115">
            <v>0</v>
          </cell>
          <cell r="D115">
            <v>0</v>
          </cell>
          <cell r="E115">
            <v>1</v>
          </cell>
          <cell r="F115">
            <v>1</v>
          </cell>
          <cell r="G115">
            <v>0</v>
          </cell>
          <cell r="H115">
            <v>0</v>
          </cell>
          <cell r="I115">
            <v>0.76469449477194873</v>
          </cell>
          <cell r="J115">
            <v>1</v>
          </cell>
          <cell r="K115">
            <v>0</v>
          </cell>
          <cell r="L115">
            <v>0</v>
          </cell>
          <cell r="M115">
            <v>1</v>
          </cell>
        </row>
        <row r="116">
          <cell r="B116">
            <v>0.79190059552218828</v>
          </cell>
          <cell r="C116">
            <v>0.10993437873894099</v>
          </cell>
          <cell r="D116">
            <v>9.8165025738870593E-2</v>
          </cell>
          <cell r="E116">
            <v>0.79190059552218828</v>
          </cell>
          <cell r="F116">
            <v>0.85906691228935972</v>
          </cell>
          <cell r="G116">
            <v>9.12137906372784E-2</v>
          </cell>
          <cell r="H116">
            <v>4.9719297073361875E-2</v>
          </cell>
          <cell r="I116">
            <v>0.76133733453197272</v>
          </cell>
          <cell r="J116">
            <v>0.88169055951468656</v>
          </cell>
          <cell r="K116">
            <v>6.9294947263034534E-2</v>
          </cell>
          <cell r="L116">
            <v>4.9014493222278924E-2</v>
          </cell>
          <cell r="M116">
            <v>0.8645733459178917</v>
          </cell>
        </row>
        <row r="117">
          <cell r="B117">
            <v>0.79190059552218828</v>
          </cell>
          <cell r="C117">
            <v>0.10993437873894099</v>
          </cell>
          <cell r="D117">
            <v>9.8165025738870593E-2</v>
          </cell>
          <cell r="E117">
            <v>0.79190059552218828</v>
          </cell>
          <cell r="F117">
            <v>0.85906691228935972</v>
          </cell>
          <cell r="G117">
            <v>9.12137906372784E-2</v>
          </cell>
          <cell r="H117">
            <v>4.9719297073361875E-2</v>
          </cell>
          <cell r="I117">
            <v>0.76133733453197272</v>
          </cell>
          <cell r="J117">
            <v>0.88169055951468656</v>
          </cell>
          <cell r="K117">
            <v>6.9294947263034534E-2</v>
          </cell>
          <cell r="L117">
            <v>4.9014493222278924E-2</v>
          </cell>
          <cell r="M117">
            <v>0.8645733459178917</v>
          </cell>
        </row>
        <row r="118">
          <cell r="B118">
            <v>0.52270053495327129</v>
          </cell>
          <cell r="C118">
            <v>0.36657542081119071</v>
          </cell>
          <cell r="D118">
            <v>0.11072404423553799</v>
          </cell>
          <cell r="E118">
            <v>0.46980428374118849</v>
          </cell>
          <cell r="F118">
            <v>0.63355191437947533</v>
          </cell>
          <cell r="G118">
            <v>0.28570635468942773</v>
          </cell>
          <cell r="H118">
            <v>8.0741730931096919E-2</v>
          </cell>
          <cell r="I118">
            <v>0.52276997924532354</v>
          </cell>
          <cell r="J118">
            <v>0.6517447426578491</v>
          </cell>
          <cell r="K118">
            <v>0.27817211294647237</v>
          </cell>
          <cell r="L118">
            <v>7.008314439567867E-2</v>
          </cell>
          <cell r="M118">
            <v>0.61387212682859449</v>
          </cell>
        </row>
        <row r="119">
          <cell r="B119">
            <v>0.52270053495327129</v>
          </cell>
          <cell r="C119">
            <v>0.36657542081119071</v>
          </cell>
          <cell r="D119">
            <v>0.11072404423553799</v>
          </cell>
          <cell r="E119">
            <v>0.46980428374118849</v>
          </cell>
          <cell r="F119">
            <v>0.63355191437947533</v>
          </cell>
          <cell r="G119">
            <v>0.28570635468942773</v>
          </cell>
          <cell r="H119">
            <v>8.0741730931096919E-2</v>
          </cell>
          <cell r="I119">
            <v>0.52276997924532354</v>
          </cell>
          <cell r="J119">
            <v>0.6517447426578491</v>
          </cell>
          <cell r="K119">
            <v>0.27817211294647237</v>
          </cell>
          <cell r="L119">
            <v>7.008314439567867E-2</v>
          </cell>
          <cell r="M119">
            <v>0.61387212682859449</v>
          </cell>
        </row>
        <row r="120">
          <cell r="B120">
            <v>0.79190059552218828</v>
          </cell>
          <cell r="C120">
            <v>0.10993437873894099</v>
          </cell>
          <cell r="D120">
            <v>9.8165025738870593E-2</v>
          </cell>
          <cell r="E120">
            <v>0.79190059552218828</v>
          </cell>
          <cell r="F120">
            <v>0.85906691228935972</v>
          </cell>
          <cell r="G120">
            <v>9.12137906372784E-2</v>
          </cell>
          <cell r="H120">
            <v>4.9719297073361875E-2</v>
          </cell>
          <cell r="I120">
            <v>0.76133733453197272</v>
          </cell>
          <cell r="J120">
            <v>0.88169055951468656</v>
          </cell>
          <cell r="K120">
            <v>6.9294947263034534E-2</v>
          </cell>
          <cell r="L120">
            <v>4.9014493222278924E-2</v>
          </cell>
          <cell r="M120">
            <v>0.8645733459178917</v>
          </cell>
        </row>
        <row r="121">
          <cell r="B121">
            <v>0.52270053495327129</v>
          </cell>
          <cell r="C121">
            <v>0.36657542081119071</v>
          </cell>
          <cell r="D121">
            <v>0.11072404423553799</v>
          </cell>
          <cell r="E121">
            <v>0.46980428374118849</v>
          </cell>
          <cell r="F121">
            <v>0.63355191437947533</v>
          </cell>
          <cell r="G121">
            <v>0.28570635468942773</v>
          </cell>
          <cell r="H121">
            <v>8.0741730931096919E-2</v>
          </cell>
          <cell r="I121">
            <v>0.52276997924532354</v>
          </cell>
          <cell r="J121">
            <v>0.6517447426578491</v>
          </cell>
          <cell r="K121">
            <v>0.27817211294647237</v>
          </cell>
          <cell r="L121">
            <v>7.008314439567867E-2</v>
          </cell>
          <cell r="M121">
            <v>0.61387212682859449</v>
          </cell>
        </row>
        <row r="122">
          <cell r="B122">
            <v>0.52270053495327129</v>
          </cell>
          <cell r="C122">
            <v>0.36657542081119071</v>
          </cell>
          <cell r="D122">
            <v>0.11072404423553799</v>
          </cell>
          <cell r="E122">
            <v>0.46980428374118849</v>
          </cell>
          <cell r="F122">
            <v>0.63355191437947533</v>
          </cell>
          <cell r="G122">
            <v>0.28570635468942773</v>
          </cell>
          <cell r="H122">
            <v>8.0741730931096919E-2</v>
          </cell>
          <cell r="I122">
            <v>0.52276997924532354</v>
          </cell>
          <cell r="J122">
            <v>0.6517447426578491</v>
          </cell>
          <cell r="K122">
            <v>0.27817211294647237</v>
          </cell>
          <cell r="L122">
            <v>7.008314439567867E-2</v>
          </cell>
          <cell r="M122">
            <v>0.61387212682859449</v>
          </cell>
        </row>
        <row r="123">
          <cell r="B123">
            <v>0.52270053495327129</v>
          </cell>
          <cell r="C123">
            <v>0.36657542081119071</v>
          </cell>
          <cell r="D123">
            <v>0.11072404423553799</v>
          </cell>
          <cell r="E123">
            <v>0.46980428374118849</v>
          </cell>
          <cell r="F123">
            <v>0.63355191437947533</v>
          </cell>
          <cell r="G123">
            <v>0.28570635468942773</v>
          </cell>
          <cell r="H123">
            <v>8.0741730931096919E-2</v>
          </cell>
          <cell r="I123">
            <v>0.52276997924532354</v>
          </cell>
          <cell r="J123">
            <v>0.6517447426578491</v>
          </cell>
          <cell r="K123">
            <v>0.27817211294647237</v>
          </cell>
          <cell r="L123">
            <v>7.008314439567867E-2</v>
          </cell>
          <cell r="M123">
            <v>0.61387212682859449</v>
          </cell>
        </row>
      </sheetData>
      <sheetData sheetId="5">
        <row r="7">
          <cell r="C7">
            <v>0.05</v>
          </cell>
          <cell r="D7">
            <v>0</v>
          </cell>
          <cell r="E7">
            <v>0</v>
          </cell>
          <cell r="F7">
            <v>0</v>
          </cell>
          <cell r="G7">
            <v>0</v>
          </cell>
          <cell r="H7">
            <v>0</v>
          </cell>
          <cell r="I7">
            <v>0</v>
          </cell>
          <cell r="J7">
            <v>0</v>
          </cell>
        </row>
        <row r="8">
          <cell r="C8">
            <v>0.05</v>
          </cell>
          <cell r="D8">
            <v>0</v>
          </cell>
          <cell r="E8">
            <v>0</v>
          </cell>
          <cell r="F8">
            <v>0</v>
          </cell>
          <cell r="G8">
            <v>0</v>
          </cell>
          <cell r="H8">
            <v>0</v>
          </cell>
          <cell r="I8">
            <v>0</v>
          </cell>
          <cell r="J8">
            <v>0</v>
          </cell>
        </row>
        <row r="9">
          <cell r="C9">
            <v>0</v>
          </cell>
          <cell r="D9">
            <v>1</v>
          </cell>
          <cell r="E9">
            <v>0</v>
          </cell>
          <cell r="F9">
            <v>0</v>
          </cell>
          <cell r="G9">
            <v>0</v>
          </cell>
          <cell r="H9">
            <v>0</v>
          </cell>
          <cell r="I9">
            <v>0</v>
          </cell>
          <cell r="J9">
            <v>0</v>
          </cell>
        </row>
        <row r="10">
          <cell r="C10">
            <v>0</v>
          </cell>
          <cell r="D10">
            <v>1</v>
          </cell>
          <cell r="E10">
            <v>0</v>
          </cell>
          <cell r="F10">
            <v>0</v>
          </cell>
          <cell r="G10">
            <v>0</v>
          </cell>
          <cell r="H10">
            <v>0</v>
          </cell>
          <cell r="I10">
            <v>0</v>
          </cell>
          <cell r="J10">
            <v>0</v>
          </cell>
        </row>
        <row r="11">
          <cell r="C11">
            <v>0</v>
          </cell>
          <cell r="D11">
            <v>0</v>
          </cell>
          <cell r="E11">
            <v>1</v>
          </cell>
          <cell r="F11">
            <v>0</v>
          </cell>
          <cell r="G11">
            <v>0</v>
          </cell>
          <cell r="H11">
            <v>0</v>
          </cell>
          <cell r="I11">
            <v>0</v>
          </cell>
          <cell r="J11">
            <v>0</v>
          </cell>
        </row>
        <row r="12">
          <cell r="C12">
            <v>0</v>
          </cell>
          <cell r="D12">
            <v>0</v>
          </cell>
          <cell r="E12">
            <v>0</v>
          </cell>
          <cell r="F12">
            <v>1</v>
          </cell>
          <cell r="G12">
            <v>0</v>
          </cell>
          <cell r="H12">
            <v>0</v>
          </cell>
          <cell r="I12">
            <v>0</v>
          </cell>
          <cell r="J12">
            <v>0</v>
          </cell>
        </row>
        <row r="13">
          <cell r="C13">
            <v>0.05</v>
          </cell>
          <cell r="D13">
            <v>0</v>
          </cell>
          <cell r="E13">
            <v>0</v>
          </cell>
          <cell r="F13">
            <v>0</v>
          </cell>
          <cell r="G13">
            <v>0</v>
          </cell>
          <cell r="H13">
            <v>0</v>
          </cell>
          <cell r="I13">
            <v>0</v>
          </cell>
          <cell r="J13">
            <v>0</v>
          </cell>
        </row>
        <row r="14">
          <cell r="C14">
            <v>0</v>
          </cell>
          <cell r="D14">
            <v>1</v>
          </cell>
          <cell r="E14">
            <v>0</v>
          </cell>
          <cell r="F14">
            <v>0</v>
          </cell>
          <cell r="G14">
            <v>0</v>
          </cell>
          <cell r="H14">
            <v>0</v>
          </cell>
          <cell r="I14">
            <v>0</v>
          </cell>
          <cell r="J14">
            <v>0</v>
          </cell>
        </row>
        <row r="15">
          <cell r="C15">
            <v>0</v>
          </cell>
          <cell r="D15">
            <v>0</v>
          </cell>
          <cell r="E15">
            <v>0</v>
          </cell>
          <cell r="F15">
            <v>0</v>
          </cell>
          <cell r="G15">
            <v>1</v>
          </cell>
          <cell r="H15">
            <v>0</v>
          </cell>
          <cell r="I15">
            <v>0</v>
          </cell>
          <cell r="J15">
            <v>0</v>
          </cell>
        </row>
        <row r="16">
          <cell r="C16">
            <v>0</v>
          </cell>
          <cell r="D16">
            <v>0</v>
          </cell>
          <cell r="E16">
            <v>0</v>
          </cell>
          <cell r="F16">
            <v>0</v>
          </cell>
          <cell r="G16">
            <v>0</v>
          </cell>
          <cell r="H16">
            <v>1</v>
          </cell>
          <cell r="I16">
            <v>0</v>
          </cell>
          <cell r="J16">
            <v>0</v>
          </cell>
        </row>
        <row r="17">
          <cell r="C17">
            <v>0</v>
          </cell>
          <cell r="D17">
            <v>0</v>
          </cell>
          <cell r="E17">
            <v>0</v>
          </cell>
          <cell r="F17">
            <v>0</v>
          </cell>
          <cell r="G17">
            <v>0</v>
          </cell>
          <cell r="H17">
            <v>0</v>
          </cell>
          <cell r="I17">
            <v>1</v>
          </cell>
          <cell r="J17">
            <v>0</v>
          </cell>
        </row>
        <row r="18">
          <cell r="C18">
            <v>0</v>
          </cell>
          <cell r="D18">
            <v>0</v>
          </cell>
          <cell r="E18">
            <v>0</v>
          </cell>
          <cell r="F18">
            <v>0</v>
          </cell>
          <cell r="G18">
            <v>0</v>
          </cell>
          <cell r="H18">
            <v>0</v>
          </cell>
          <cell r="I18">
            <v>1</v>
          </cell>
          <cell r="J18">
            <v>0</v>
          </cell>
        </row>
        <row r="19">
          <cell r="C19">
            <v>0</v>
          </cell>
          <cell r="D19">
            <v>0</v>
          </cell>
          <cell r="E19">
            <v>0</v>
          </cell>
          <cell r="F19">
            <v>0</v>
          </cell>
          <cell r="G19">
            <v>0</v>
          </cell>
          <cell r="H19">
            <v>0</v>
          </cell>
          <cell r="I19">
            <v>1</v>
          </cell>
          <cell r="J19">
            <v>0</v>
          </cell>
        </row>
        <row r="20">
          <cell r="C20">
            <v>0</v>
          </cell>
          <cell r="D20">
            <v>0</v>
          </cell>
          <cell r="E20">
            <v>0</v>
          </cell>
          <cell r="F20">
            <v>0</v>
          </cell>
          <cell r="G20">
            <v>0</v>
          </cell>
          <cell r="H20">
            <v>0</v>
          </cell>
          <cell r="I20">
            <v>1</v>
          </cell>
          <cell r="J20">
            <v>0</v>
          </cell>
        </row>
        <row r="21">
          <cell r="C21">
            <v>0</v>
          </cell>
          <cell r="D21">
            <v>0</v>
          </cell>
          <cell r="E21">
            <v>0</v>
          </cell>
          <cell r="F21">
            <v>0</v>
          </cell>
          <cell r="G21">
            <v>0</v>
          </cell>
          <cell r="H21">
            <v>0</v>
          </cell>
          <cell r="I21">
            <v>0</v>
          </cell>
          <cell r="J21">
            <v>0</v>
          </cell>
        </row>
        <row r="22">
          <cell r="C22">
            <v>0</v>
          </cell>
          <cell r="D22">
            <v>0</v>
          </cell>
          <cell r="E22">
            <v>0</v>
          </cell>
          <cell r="F22">
            <v>0</v>
          </cell>
          <cell r="G22">
            <v>0</v>
          </cell>
          <cell r="H22">
            <v>0</v>
          </cell>
          <cell r="I22">
            <v>0</v>
          </cell>
          <cell r="J22">
            <v>0</v>
          </cell>
        </row>
        <row r="23">
          <cell r="C23">
            <v>0</v>
          </cell>
          <cell r="D23">
            <v>0</v>
          </cell>
          <cell r="E23">
            <v>0</v>
          </cell>
          <cell r="F23">
            <v>0</v>
          </cell>
          <cell r="G23">
            <v>0</v>
          </cell>
          <cell r="H23">
            <v>0</v>
          </cell>
          <cell r="I23">
            <v>0</v>
          </cell>
          <cell r="J23">
            <v>0</v>
          </cell>
        </row>
        <row r="24">
          <cell r="C24">
            <v>0</v>
          </cell>
          <cell r="D24">
            <v>0</v>
          </cell>
          <cell r="E24">
            <v>0</v>
          </cell>
          <cell r="F24">
            <v>0</v>
          </cell>
          <cell r="G24">
            <v>0</v>
          </cell>
          <cell r="H24">
            <v>0</v>
          </cell>
          <cell r="I24">
            <v>0</v>
          </cell>
          <cell r="J24">
            <v>0</v>
          </cell>
        </row>
        <row r="25">
          <cell r="C25">
            <v>0</v>
          </cell>
          <cell r="D25">
            <v>0</v>
          </cell>
          <cell r="E25">
            <v>0</v>
          </cell>
          <cell r="F25">
            <v>0</v>
          </cell>
          <cell r="G25">
            <v>0</v>
          </cell>
          <cell r="H25">
            <v>0</v>
          </cell>
          <cell r="I25">
            <v>0</v>
          </cell>
          <cell r="J25">
            <v>0</v>
          </cell>
        </row>
        <row r="26">
          <cell r="C26">
            <v>0</v>
          </cell>
          <cell r="D26">
            <v>0</v>
          </cell>
          <cell r="E26">
            <v>0</v>
          </cell>
          <cell r="F26">
            <v>0</v>
          </cell>
          <cell r="G26">
            <v>0</v>
          </cell>
          <cell r="H26">
            <v>0</v>
          </cell>
          <cell r="I26">
            <v>0</v>
          </cell>
          <cell r="J26">
            <v>0</v>
          </cell>
        </row>
        <row r="33">
          <cell r="C33">
            <v>0</v>
          </cell>
          <cell r="D33">
            <v>0</v>
          </cell>
          <cell r="E33">
            <v>0</v>
          </cell>
          <cell r="F33">
            <v>0</v>
          </cell>
          <cell r="G33">
            <v>0</v>
          </cell>
          <cell r="H33">
            <v>0</v>
          </cell>
          <cell r="I33">
            <v>0</v>
          </cell>
          <cell r="J33">
            <v>0.48799999999999999</v>
          </cell>
        </row>
        <row r="38">
          <cell r="C38">
            <v>1</v>
          </cell>
          <cell r="D38">
            <v>0</v>
          </cell>
          <cell r="E38">
            <v>0</v>
          </cell>
          <cell r="F38">
            <v>0</v>
          </cell>
          <cell r="G38">
            <v>0</v>
          </cell>
        </row>
        <row r="39">
          <cell r="C39">
            <v>1</v>
          </cell>
          <cell r="D39">
            <v>0</v>
          </cell>
          <cell r="E39">
            <v>0</v>
          </cell>
          <cell r="F39">
            <v>0</v>
          </cell>
          <cell r="G39">
            <v>0</v>
          </cell>
        </row>
        <row r="40">
          <cell r="C40">
            <v>0</v>
          </cell>
          <cell r="D40">
            <v>1</v>
          </cell>
          <cell r="E40">
            <v>0</v>
          </cell>
          <cell r="F40">
            <v>0</v>
          </cell>
          <cell r="G40">
            <v>0</v>
          </cell>
        </row>
        <row r="41">
          <cell r="C41">
            <v>0</v>
          </cell>
          <cell r="D41">
            <v>1</v>
          </cell>
          <cell r="E41">
            <v>0</v>
          </cell>
          <cell r="F41">
            <v>0</v>
          </cell>
          <cell r="G41">
            <v>0</v>
          </cell>
        </row>
        <row r="42">
          <cell r="C42">
            <v>0</v>
          </cell>
          <cell r="D42">
            <v>1</v>
          </cell>
          <cell r="E42">
            <v>0</v>
          </cell>
          <cell r="F42">
            <v>0</v>
          </cell>
          <cell r="G42">
            <v>0</v>
          </cell>
        </row>
        <row r="43">
          <cell r="C43">
            <v>0</v>
          </cell>
          <cell r="D43">
            <v>1</v>
          </cell>
          <cell r="E43">
            <v>0</v>
          </cell>
          <cell r="F43">
            <v>0</v>
          </cell>
          <cell r="G43">
            <v>0</v>
          </cell>
        </row>
      </sheetData>
      <sheetData sheetId="6">
        <row r="29">
          <cell r="D29">
            <v>4308328.1799358893</v>
          </cell>
          <cell r="E29">
            <v>0</v>
          </cell>
          <cell r="F29">
            <v>0</v>
          </cell>
          <cell r="G29">
            <v>1249039.053009829</v>
          </cell>
          <cell r="H29">
            <v>0</v>
          </cell>
          <cell r="I29">
            <v>0</v>
          </cell>
          <cell r="J29">
            <v>0</v>
          </cell>
        </row>
        <row r="30">
          <cell r="D30">
            <v>17317.244984043104</v>
          </cell>
          <cell r="E30">
            <v>0</v>
          </cell>
          <cell r="F30">
            <v>0</v>
          </cell>
          <cell r="G30">
            <v>6432.4704020547961</v>
          </cell>
          <cell r="H30">
            <v>0</v>
          </cell>
          <cell r="I30">
            <v>0</v>
          </cell>
          <cell r="J30">
            <v>0</v>
          </cell>
        </row>
        <row r="31">
          <cell r="D31">
            <v>30359.986233439653</v>
          </cell>
          <cell r="E31">
            <v>0</v>
          </cell>
          <cell r="F31">
            <v>0</v>
          </cell>
          <cell r="G31">
            <v>11844.01251369863</v>
          </cell>
          <cell r="H31">
            <v>0</v>
          </cell>
          <cell r="I31">
            <v>0</v>
          </cell>
          <cell r="J31">
            <v>0</v>
          </cell>
        </row>
        <row r="32">
          <cell r="D32">
            <v>0</v>
          </cell>
          <cell r="E32">
            <v>0</v>
          </cell>
          <cell r="F32">
            <v>0</v>
          </cell>
          <cell r="G32">
            <v>0</v>
          </cell>
          <cell r="H32">
            <v>0</v>
          </cell>
          <cell r="I32">
            <v>0</v>
          </cell>
          <cell r="J32">
            <v>0</v>
          </cell>
        </row>
        <row r="33">
          <cell r="D33">
            <v>607941.0703076917</v>
          </cell>
          <cell r="E33">
            <v>664320.74235178798</v>
          </cell>
          <cell r="F33">
            <v>0</v>
          </cell>
          <cell r="G33">
            <v>209037.51452636323</v>
          </cell>
          <cell r="H33">
            <v>0</v>
          </cell>
          <cell r="I33">
            <v>0</v>
          </cell>
          <cell r="J33">
            <v>0</v>
          </cell>
        </row>
        <row r="34">
          <cell r="D34">
            <v>996.33454580172418</v>
          </cell>
          <cell r="E34">
            <v>464.31544950000011</v>
          </cell>
          <cell r="F34">
            <v>0</v>
          </cell>
          <cell r="G34">
            <v>424.57848904109591</v>
          </cell>
          <cell r="H34">
            <v>0</v>
          </cell>
          <cell r="I34">
            <v>0</v>
          </cell>
          <cell r="J34">
            <v>0</v>
          </cell>
        </row>
        <row r="35">
          <cell r="D35">
            <v>958.18848680172437</v>
          </cell>
          <cell r="E35">
            <v>407.95688506034486</v>
          </cell>
          <cell r="F35">
            <v>0</v>
          </cell>
          <cell r="G35">
            <v>368.39690136986303</v>
          </cell>
          <cell r="H35">
            <v>0</v>
          </cell>
          <cell r="I35">
            <v>0</v>
          </cell>
          <cell r="J35">
            <v>0</v>
          </cell>
        </row>
        <row r="36">
          <cell r="D36">
            <v>0</v>
          </cell>
          <cell r="E36">
            <v>0</v>
          </cell>
          <cell r="F36">
            <v>0</v>
          </cell>
          <cell r="G36">
            <v>0</v>
          </cell>
          <cell r="H36">
            <v>0</v>
          </cell>
          <cell r="I36">
            <v>0</v>
          </cell>
          <cell r="J36">
            <v>0</v>
          </cell>
        </row>
        <row r="37">
          <cell r="D37">
            <v>45959.708361578618</v>
          </cell>
          <cell r="F37">
            <v>0</v>
          </cell>
          <cell r="G37">
            <v>15622</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1179331.5292248435</v>
          </cell>
          <cell r="E41">
            <v>0</v>
          </cell>
          <cell r="F41">
            <v>0</v>
          </cell>
          <cell r="G41">
            <v>110093.23974331518</v>
          </cell>
          <cell r="H41">
            <v>0</v>
          </cell>
          <cell r="I41">
            <v>0</v>
          </cell>
          <cell r="J41">
            <v>0</v>
          </cell>
        </row>
        <row r="42">
          <cell r="D42">
            <v>788.43675949137935</v>
          </cell>
          <cell r="E42">
            <v>0</v>
          </cell>
          <cell r="F42">
            <v>0</v>
          </cell>
          <cell r="G42">
            <v>127.831401369863</v>
          </cell>
          <cell r="H42">
            <v>0</v>
          </cell>
          <cell r="I42">
            <v>0</v>
          </cell>
          <cell r="J42">
            <v>0</v>
          </cell>
        </row>
        <row r="43">
          <cell r="D43">
            <v>7392.7733794913811</v>
          </cell>
          <cell r="E43">
            <v>0</v>
          </cell>
          <cell r="F43">
            <v>0</v>
          </cell>
          <cell r="G43">
            <v>462.20062191780835</v>
          </cell>
          <cell r="H43">
            <v>0</v>
          </cell>
          <cell r="I43">
            <v>0</v>
          </cell>
          <cell r="J43">
            <v>0</v>
          </cell>
        </row>
        <row r="44">
          <cell r="D44">
            <v>0</v>
          </cell>
          <cell r="E44">
            <v>0</v>
          </cell>
          <cell r="F44">
            <v>0</v>
          </cell>
          <cell r="G44">
            <v>0</v>
          </cell>
          <cell r="H44">
            <v>0</v>
          </cell>
          <cell r="I44">
            <v>0</v>
          </cell>
          <cell r="J44">
            <v>0</v>
          </cell>
        </row>
        <row r="45">
          <cell r="D45">
            <v>394405.65408074018</v>
          </cell>
          <cell r="E45">
            <v>183263.23104870663</v>
          </cell>
          <cell r="F45">
            <v>0</v>
          </cell>
          <cell r="G45">
            <v>29443.268260965255</v>
          </cell>
          <cell r="H45">
            <v>0</v>
          </cell>
          <cell r="I45">
            <v>0</v>
          </cell>
          <cell r="J45">
            <v>0</v>
          </cell>
        </row>
        <row r="46">
          <cell r="D46">
            <v>41.250505112068964</v>
          </cell>
          <cell r="E46">
            <v>17.318100413793108</v>
          </cell>
          <cell r="F46">
            <v>0</v>
          </cell>
          <cell r="G46">
            <v>2.757156164383562</v>
          </cell>
          <cell r="H46">
            <v>0</v>
          </cell>
          <cell r="I46">
            <v>0</v>
          </cell>
          <cell r="J46">
            <v>0</v>
          </cell>
        </row>
        <row r="47">
          <cell r="D47">
            <v>926.24888312068981</v>
          </cell>
          <cell r="E47">
            <v>260.32896822413795</v>
          </cell>
          <cell r="F47">
            <v>0</v>
          </cell>
          <cell r="G47">
            <v>23.554836986301375</v>
          </cell>
          <cell r="H47">
            <v>0</v>
          </cell>
          <cell r="I47">
            <v>0</v>
          </cell>
          <cell r="J47">
            <v>0</v>
          </cell>
        </row>
        <row r="48">
          <cell r="D48">
            <v>0</v>
          </cell>
          <cell r="E48">
            <v>0</v>
          </cell>
          <cell r="F48">
            <v>0</v>
          </cell>
          <cell r="G48">
            <v>0</v>
          </cell>
          <cell r="H48">
            <v>0</v>
          </cell>
          <cell r="I48">
            <v>0</v>
          </cell>
          <cell r="J48">
            <v>0</v>
          </cell>
        </row>
        <row r="49">
          <cell r="D49">
            <v>17319.819478475714</v>
          </cell>
          <cell r="F49">
            <v>0</v>
          </cell>
          <cell r="G49">
            <v>3339</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8.0133204024159801E-4</v>
          </cell>
          <cell r="E53">
            <v>1.9866795975840209E-4</v>
          </cell>
          <cell r="G53">
            <v>1.1375306250331345E-5</v>
          </cell>
          <cell r="H53">
            <v>0</v>
          </cell>
          <cell r="I53">
            <v>0</v>
          </cell>
          <cell r="J53">
            <v>0</v>
          </cell>
        </row>
        <row r="54">
          <cell r="H54">
            <v>0</v>
          </cell>
          <cell r="I54">
            <v>0</v>
          </cell>
          <cell r="J54">
            <v>0</v>
          </cell>
        </row>
        <row r="55">
          <cell r="H55">
            <v>0</v>
          </cell>
          <cell r="I55">
            <v>0</v>
          </cell>
          <cell r="J55">
            <v>0</v>
          </cell>
        </row>
        <row r="56">
          <cell r="H56">
            <v>0</v>
          </cell>
          <cell r="I56">
            <v>0</v>
          </cell>
          <cell r="J56">
            <v>0</v>
          </cell>
        </row>
        <row r="57">
          <cell r="D57">
            <v>7.8187632481715845E-4</v>
          </cell>
          <cell r="E57">
            <v>2.1812367518284149E-4</v>
          </cell>
          <cell r="G57">
            <v>8.3651490727006342E-6</v>
          </cell>
          <cell r="H57">
            <v>0</v>
          </cell>
          <cell r="I57">
            <v>0</v>
          </cell>
          <cell r="J57">
            <v>0</v>
          </cell>
        </row>
        <row r="58">
          <cell r="H58">
            <v>0</v>
          </cell>
          <cell r="I58">
            <v>0</v>
          </cell>
          <cell r="J58">
            <v>0</v>
          </cell>
        </row>
        <row r="59">
          <cell r="D59">
            <v>7.7902953356325151E-4</v>
          </cell>
          <cell r="E59">
            <v>2.2097046643674843E-4</v>
          </cell>
          <cell r="G59">
            <v>8.8911149421647205E-6</v>
          </cell>
          <cell r="H59">
            <v>0</v>
          </cell>
          <cell r="I59">
            <v>0</v>
          </cell>
          <cell r="J59">
            <v>0</v>
          </cell>
        </row>
        <row r="60">
          <cell r="D60">
            <v>0</v>
          </cell>
          <cell r="E60">
            <v>0</v>
          </cell>
          <cell r="F60">
            <v>0</v>
          </cell>
          <cell r="G60">
            <v>0</v>
          </cell>
          <cell r="H60">
            <v>0</v>
          </cell>
          <cell r="I60">
            <v>0</v>
          </cell>
          <cell r="J60">
            <v>0</v>
          </cell>
        </row>
        <row r="61">
          <cell r="D61">
            <v>2.2038402354910721E-2</v>
          </cell>
          <cell r="E61">
            <v>5.6003186010638299E-2</v>
          </cell>
          <cell r="F61">
            <v>5.28921656517857E-2</v>
          </cell>
          <cell r="G61">
            <v>8.4931506849315067E-2</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26809.776329036184</v>
          </cell>
          <cell r="E65">
            <v>198363.7566935535</v>
          </cell>
          <cell r="F65">
            <v>187790.92736802268</v>
          </cell>
          <cell r="G65">
            <v>6133.3604116966899</v>
          </cell>
          <cell r="H65">
            <v>0</v>
          </cell>
          <cell r="I65">
            <v>0</v>
          </cell>
          <cell r="J65">
            <v>0</v>
          </cell>
        </row>
        <row r="66">
          <cell r="D66">
            <v>3.3157410088189661</v>
          </cell>
          <cell r="E66">
            <v>24.610477729189657</v>
          </cell>
          <cell r="F66">
            <v>26.227817446189661</v>
          </cell>
          <cell r="G66">
            <v>1.1300991921225449</v>
          </cell>
          <cell r="H66">
            <v>0</v>
          </cell>
          <cell r="I66">
            <v>0</v>
          </cell>
          <cell r="J66">
            <v>0</v>
          </cell>
        </row>
        <row r="67">
          <cell r="D67">
            <v>208.85522710830037</v>
          </cell>
          <cell r="E67">
            <v>1439.9688025914054</v>
          </cell>
          <cell r="F67">
            <v>1182.4128410746812</v>
          </cell>
          <cell r="G67">
            <v>39.906605458800122</v>
          </cell>
          <cell r="H67">
            <v>0</v>
          </cell>
          <cell r="I67">
            <v>0</v>
          </cell>
          <cell r="J67">
            <v>0</v>
          </cell>
        </row>
        <row r="68">
          <cell r="D68">
            <v>0</v>
          </cell>
          <cell r="E68">
            <v>0</v>
          </cell>
          <cell r="F68">
            <v>0</v>
          </cell>
          <cell r="G68">
            <v>0</v>
          </cell>
          <cell r="H68">
            <v>0</v>
          </cell>
          <cell r="I68">
            <v>0</v>
          </cell>
          <cell r="J68">
            <v>0</v>
          </cell>
        </row>
        <row r="69">
          <cell r="D69">
            <v>86224.938174458686</v>
          </cell>
          <cell r="E69">
            <v>626406.11625046073</v>
          </cell>
          <cell r="F69">
            <v>551384.49934371735</v>
          </cell>
          <cell r="G69">
            <v>6675.4921517207349</v>
          </cell>
          <cell r="H69">
            <v>679119.46093167306</v>
          </cell>
          <cell r="I69">
            <v>12059.509748296468</v>
          </cell>
          <cell r="J69">
            <v>78582.108886907372</v>
          </cell>
        </row>
        <row r="70">
          <cell r="D70">
            <v>26.670196333111619</v>
          </cell>
          <cell r="E70">
            <v>184.90987519400832</v>
          </cell>
          <cell r="F70">
            <v>189.04909032529565</v>
          </cell>
          <cell r="G70">
            <v>3.6487097119870446</v>
          </cell>
          <cell r="H70">
            <v>385.20564657534248</v>
          </cell>
          <cell r="I70">
            <v>0</v>
          </cell>
          <cell r="J70">
            <v>38.893499255172415</v>
          </cell>
        </row>
        <row r="71">
          <cell r="D71">
            <v>3033.5166612945895</v>
          </cell>
          <cell r="E71">
            <v>19778.444486303983</v>
          </cell>
          <cell r="F71">
            <v>17104.938488611111</v>
          </cell>
          <cell r="G71">
            <v>102.52944728092592</v>
          </cell>
          <cell r="H71">
            <v>21251.928945205484</v>
          </cell>
          <cell r="I71">
            <v>85.518659589041107</v>
          </cell>
          <cell r="J71">
            <v>1726.2375684206897</v>
          </cell>
        </row>
        <row r="72">
          <cell r="D72">
            <v>0</v>
          </cell>
          <cell r="E72">
            <v>0</v>
          </cell>
          <cell r="F72">
            <v>0</v>
          </cell>
          <cell r="G72">
            <v>0</v>
          </cell>
          <cell r="H72">
            <v>0</v>
          </cell>
          <cell r="I72">
            <v>0</v>
          </cell>
          <cell r="J72">
            <v>0</v>
          </cell>
        </row>
        <row r="73">
          <cell r="D73">
            <v>49864.368371854573</v>
          </cell>
          <cell r="E73">
            <v>369689.81514963449</v>
          </cell>
          <cell r="F73">
            <v>340515.48335188109</v>
          </cell>
          <cell r="G73">
            <v>1936.9854039786185</v>
          </cell>
          <cell r="H73">
            <v>364556.94204575109</v>
          </cell>
          <cell r="I73">
            <v>5286.8109888675162</v>
          </cell>
          <cell r="J73">
            <v>65191.59809982658</v>
          </cell>
        </row>
        <row r="74">
          <cell r="D74">
            <v>7.3537928980044374</v>
          </cell>
          <cell r="E74">
            <v>37.820208493355103</v>
          </cell>
          <cell r="F74">
            <v>52.294666737338311</v>
          </cell>
          <cell r="G74">
            <v>1.1758993150684933</v>
          </cell>
          <cell r="H74">
            <v>626.75433493150683</v>
          </cell>
          <cell r="I74">
            <v>0</v>
          </cell>
          <cell r="J74">
            <v>1.4026004999999999</v>
          </cell>
        </row>
        <row r="75">
          <cell r="D75">
            <v>0</v>
          </cell>
          <cell r="E75">
            <v>0</v>
          </cell>
          <cell r="F75">
            <v>0</v>
          </cell>
          <cell r="G75">
            <v>0</v>
          </cell>
          <cell r="H75">
            <v>0</v>
          </cell>
          <cell r="I75">
            <v>0</v>
          </cell>
          <cell r="J75">
            <v>0</v>
          </cell>
        </row>
        <row r="76">
          <cell r="D76">
            <v>153504.23635739877</v>
          </cell>
          <cell r="E76">
            <v>1093420.3303867856</v>
          </cell>
          <cell r="F76">
            <v>1183755.4135911537</v>
          </cell>
          <cell r="G76">
            <v>1060.270602740768</v>
          </cell>
          <cell r="H76">
            <v>854296.8159186152</v>
          </cell>
          <cell r="I76">
            <v>14165.401246932342</v>
          </cell>
          <cell r="J76">
            <v>163805.20245465485</v>
          </cell>
        </row>
        <row r="77">
          <cell r="D77">
            <v>835.56520149345931</v>
          </cell>
          <cell r="E77">
            <v>5354.5554566887531</v>
          </cell>
          <cell r="F77">
            <v>7404.6287378891438</v>
          </cell>
          <cell r="G77">
            <v>7.7141773972602756</v>
          </cell>
          <cell r="H77">
            <v>12519.13216438356</v>
          </cell>
          <cell r="I77">
            <v>0</v>
          </cell>
          <cell r="J77">
            <v>256.52510143448279</v>
          </cell>
        </row>
        <row r="78">
          <cell r="D78">
            <v>0</v>
          </cell>
          <cell r="E78">
            <v>0</v>
          </cell>
          <cell r="F78">
            <v>0</v>
          </cell>
          <cell r="G78">
            <v>0</v>
          </cell>
          <cell r="H78">
            <v>0</v>
          </cell>
          <cell r="I78">
            <v>0</v>
          </cell>
          <cell r="J78">
            <v>0</v>
          </cell>
        </row>
        <row r="79">
          <cell r="D79">
            <v>10121.811870412395</v>
          </cell>
          <cell r="E79">
            <v>0</v>
          </cell>
          <cell r="F79">
            <v>0</v>
          </cell>
          <cell r="G79">
            <v>741</v>
          </cell>
          <cell r="H79">
            <v>0</v>
          </cell>
          <cell r="I79">
            <v>0</v>
          </cell>
          <cell r="J79">
            <v>0</v>
          </cell>
        </row>
        <row r="80">
          <cell r="D80">
            <v>136.7981201637931</v>
          </cell>
          <cell r="E80">
            <v>0</v>
          </cell>
          <cell r="F80">
            <v>0</v>
          </cell>
          <cell r="G80">
            <v>0</v>
          </cell>
          <cell r="H80">
            <v>0</v>
          </cell>
          <cell r="I80">
            <v>0</v>
          </cell>
          <cell r="J80">
            <v>0</v>
          </cell>
        </row>
        <row r="81">
          <cell r="D81">
            <v>23.736825</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7712.9716131438981</v>
          </cell>
          <cell r="E83">
            <v>0</v>
          </cell>
          <cell r="F83">
            <v>0</v>
          </cell>
          <cell r="G83">
            <v>689</v>
          </cell>
          <cell r="H83">
            <v>0</v>
          </cell>
          <cell r="I83">
            <v>0</v>
          </cell>
          <cell r="J83">
            <v>0</v>
          </cell>
        </row>
        <row r="84">
          <cell r="D84">
            <v>75.667019508620697</v>
          </cell>
          <cell r="E84">
            <v>0</v>
          </cell>
          <cell r="F84">
            <v>0</v>
          </cell>
          <cell r="G84">
            <v>0</v>
          </cell>
          <cell r="H84">
            <v>0</v>
          </cell>
          <cell r="I84">
            <v>0</v>
          </cell>
          <cell r="J84">
            <v>0</v>
          </cell>
        </row>
        <row r="85">
          <cell r="D85">
            <v>301.33748599137931</v>
          </cell>
          <cell r="E85">
            <v>0</v>
          </cell>
          <cell r="F85">
            <v>0</v>
          </cell>
          <cell r="G85">
            <v>0</v>
          </cell>
          <cell r="H85">
            <v>0</v>
          </cell>
          <cell r="I85">
            <v>0</v>
          </cell>
          <cell r="J85">
            <v>0</v>
          </cell>
        </row>
        <row r="86">
          <cell r="D86">
            <v>0</v>
          </cell>
          <cell r="E86">
            <v>0</v>
          </cell>
          <cell r="F86">
            <v>0</v>
          </cell>
          <cell r="G86">
            <v>0</v>
          </cell>
          <cell r="H86">
            <v>0</v>
          </cell>
          <cell r="I86">
            <v>0</v>
          </cell>
          <cell r="J86">
            <v>0</v>
          </cell>
        </row>
        <row r="87">
          <cell r="D87">
            <v>989.1872895940935</v>
          </cell>
          <cell r="E87">
            <v>0</v>
          </cell>
          <cell r="F87">
            <v>0</v>
          </cell>
          <cell r="G87">
            <v>179</v>
          </cell>
          <cell r="H87">
            <v>0</v>
          </cell>
          <cell r="I87">
            <v>0</v>
          </cell>
          <cell r="J87">
            <v>0</v>
          </cell>
        </row>
        <row r="88">
          <cell r="D88">
            <v>5.1353499568965537</v>
          </cell>
          <cell r="E88">
            <v>0</v>
          </cell>
          <cell r="F88">
            <v>0</v>
          </cell>
          <cell r="G88">
            <v>0</v>
          </cell>
          <cell r="H88">
            <v>0</v>
          </cell>
          <cell r="I88">
            <v>0</v>
          </cell>
          <cell r="J88">
            <v>0</v>
          </cell>
        </row>
        <row r="89">
          <cell r="D89">
            <v>2.9883946810344835</v>
          </cell>
          <cell r="E89">
            <v>0</v>
          </cell>
          <cell r="F89">
            <v>0</v>
          </cell>
          <cell r="G89">
            <v>0</v>
          </cell>
          <cell r="H89">
            <v>0</v>
          </cell>
          <cell r="I89">
            <v>0</v>
          </cell>
          <cell r="J89">
            <v>0</v>
          </cell>
        </row>
        <row r="90">
          <cell r="D90">
            <v>0</v>
          </cell>
          <cell r="E90">
            <v>0</v>
          </cell>
          <cell r="F90">
            <v>0</v>
          </cell>
          <cell r="G90">
            <v>0</v>
          </cell>
          <cell r="H90">
            <v>0</v>
          </cell>
          <cell r="I90">
            <v>0</v>
          </cell>
          <cell r="J90">
            <v>0</v>
          </cell>
        </row>
        <row r="91">
          <cell r="D91">
            <v>0</v>
          </cell>
          <cell r="E91">
            <v>0</v>
          </cell>
          <cell r="F91">
            <v>0</v>
          </cell>
          <cell r="G91">
            <v>1</v>
          </cell>
          <cell r="H91">
            <v>0</v>
          </cell>
          <cell r="I91">
            <v>0</v>
          </cell>
          <cell r="J91">
            <v>0</v>
          </cell>
        </row>
        <row r="92">
          <cell r="D92">
            <v>0</v>
          </cell>
          <cell r="E92">
            <v>0</v>
          </cell>
          <cell r="F92">
            <v>0</v>
          </cell>
          <cell r="G92">
            <v>0</v>
          </cell>
          <cell r="H92">
            <v>0</v>
          </cell>
          <cell r="I92">
            <v>0</v>
          </cell>
          <cell r="J92">
            <v>0</v>
          </cell>
        </row>
        <row r="93">
          <cell r="D93">
            <v>0</v>
          </cell>
          <cell r="E93">
            <v>0</v>
          </cell>
          <cell r="F93">
            <v>0</v>
          </cell>
          <cell r="G93">
            <v>0</v>
          </cell>
          <cell r="H93">
            <v>0</v>
          </cell>
          <cell r="I93">
            <v>0</v>
          </cell>
          <cell r="J93">
            <v>0</v>
          </cell>
        </row>
        <row r="94">
          <cell r="D94">
            <v>0</v>
          </cell>
          <cell r="E94">
            <v>0</v>
          </cell>
          <cell r="F94">
            <v>0</v>
          </cell>
          <cell r="G94">
            <v>0</v>
          </cell>
          <cell r="H94">
            <v>0</v>
          </cell>
          <cell r="I94">
            <v>0</v>
          </cell>
          <cell r="J94">
            <v>0</v>
          </cell>
        </row>
        <row r="95">
          <cell r="D95">
            <v>4105.9859496450399</v>
          </cell>
          <cell r="E95">
            <v>29544.034960210251</v>
          </cell>
          <cell r="F95">
            <v>79785.804627936566</v>
          </cell>
          <cell r="G95">
            <v>27.444162911866147</v>
          </cell>
          <cell r="H95">
            <v>0</v>
          </cell>
          <cell r="I95">
            <v>0</v>
          </cell>
          <cell r="J95">
            <v>0</v>
          </cell>
        </row>
        <row r="96">
          <cell r="D96">
            <v>0</v>
          </cell>
          <cell r="E96">
            <v>0</v>
          </cell>
          <cell r="F96">
            <v>0</v>
          </cell>
          <cell r="G96">
            <v>0</v>
          </cell>
          <cell r="H96">
            <v>0</v>
          </cell>
          <cell r="I96">
            <v>0</v>
          </cell>
          <cell r="J96">
            <v>0</v>
          </cell>
        </row>
        <row r="97">
          <cell r="D97">
            <v>1.582648648170732</v>
          </cell>
          <cell r="E97">
            <v>5.703542262359643</v>
          </cell>
          <cell r="F97">
            <v>35.255484612621792</v>
          </cell>
          <cell r="G97">
            <v>1.1758993150684933</v>
          </cell>
          <cell r="H97">
            <v>0</v>
          </cell>
          <cell r="I97">
            <v>0</v>
          </cell>
          <cell r="J97">
            <v>0</v>
          </cell>
        </row>
        <row r="98">
          <cell r="D98">
            <v>0</v>
          </cell>
          <cell r="E98">
            <v>0</v>
          </cell>
          <cell r="F98">
            <v>0</v>
          </cell>
          <cell r="G98">
            <v>0</v>
          </cell>
          <cell r="H98">
            <v>0</v>
          </cell>
          <cell r="I98">
            <v>0</v>
          </cell>
          <cell r="J98">
            <v>0</v>
          </cell>
        </row>
        <row r="99">
          <cell r="D99">
            <v>3214.7578266896548</v>
          </cell>
          <cell r="E99">
            <v>0</v>
          </cell>
          <cell r="F99">
            <v>0</v>
          </cell>
          <cell r="G99">
            <v>286</v>
          </cell>
          <cell r="H99">
            <v>0</v>
          </cell>
          <cell r="I99">
            <v>0</v>
          </cell>
          <cell r="J99">
            <v>0</v>
          </cell>
        </row>
        <row r="100">
          <cell r="D100">
            <v>132.89592165517243</v>
          </cell>
          <cell r="E100">
            <v>0</v>
          </cell>
          <cell r="F100">
            <v>0</v>
          </cell>
          <cell r="G100">
            <v>0</v>
          </cell>
          <cell r="H100">
            <v>0</v>
          </cell>
          <cell r="I100">
            <v>0</v>
          </cell>
          <cell r="J100">
            <v>0</v>
          </cell>
        </row>
        <row r="101">
          <cell r="D101">
            <v>0</v>
          </cell>
          <cell r="E101">
            <v>0</v>
          </cell>
          <cell r="F101">
            <v>0</v>
          </cell>
          <cell r="G101">
            <v>0</v>
          </cell>
          <cell r="H101">
            <v>0</v>
          </cell>
          <cell r="I101">
            <v>0</v>
          </cell>
          <cell r="J101">
            <v>0</v>
          </cell>
        </row>
        <row r="102">
          <cell r="D102">
            <v>0</v>
          </cell>
          <cell r="E102">
            <v>0</v>
          </cell>
          <cell r="F102">
            <v>0</v>
          </cell>
          <cell r="G102">
            <v>0</v>
          </cell>
          <cell r="H102">
            <v>0</v>
          </cell>
          <cell r="I102">
            <v>0</v>
          </cell>
          <cell r="J102">
            <v>0</v>
          </cell>
        </row>
        <row r="103">
          <cell r="D103">
            <v>92.074856879310332</v>
          </cell>
          <cell r="E103">
            <v>0</v>
          </cell>
          <cell r="F103">
            <v>0</v>
          </cell>
          <cell r="G103">
            <v>1</v>
          </cell>
          <cell r="H103">
            <v>0</v>
          </cell>
          <cell r="I103">
            <v>0</v>
          </cell>
          <cell r="J103">
            <v>0</v>
          </cell>
        </row>
        <row r="104">
          <cell r="D104">
            <v>0</v>
          </cell>
          <cell r="E104">
            <v>0</v>
          </cell>
          <cell r="F104">
            <v>0</v>
          </cell>
          <cell r="G104">
            <v>0</v>
          </cell>
          <cell r="H104">
            <v>0</v>
          </cell>
          <cell r="I104">
            <v>0</v>
          </cell>
          <cell r="J104">
            <v>0</v>
          </cell>
        </row>
        <row r="105">
          <cell r="D105">
            <v>0</v>
          </cell>
          <cell r="E105">
            <v>0</v>
          </cell>
          <cell r="F105">
            <v>0</v>
          </cell>
          <cell r="G105">
            <v>0</v>
          </cell>
          <cell r="H105">
            <v>0</v>
          </cell>
          <cell r="I105">
            <v>0</v>
          </cell>
          <cell r="J105">
            <v>0</v>
          </cell>
        </row>
        <row r="106">
          <cell r="D106">
            <v>78529.095040948305</v>
          </cell>
          <cell r="E106">
            <v>0</v>
          </cell>
          <cell r="F106">
            <v>0</v>
          </cell>
          <cell r="G106">
            <v>887.02632534246584</v>
          </cell>
          <cell r="J106">
            <v>6221.8592215431045</v>
          </cell>
        </row>
        <row r="107">
          <cell r="D107">
            <v>0</v>
          </cell>
          <cell r="E107">
            <v>0</v>
          </cell>
          <cell r="F107">
            <v>0</v>
          </cell>
          <cell r="G107">
            <v>0</v>
          </cell>
          <cell r="J107">
            <v>0</v>
          </cell>
        </row>
        <row r="108">
          <cell r="D108">
            <v>1158.4981509517236</v>
          </cell>
          <cell r="G108">
            <v>3.2634739726027386</v>
          </cell>
          <cell r="J108">
            <v>14.619248242758623</v>
          </cell>
        </row>
        <row r="112">
          <cell r="D112">
            <v>150.22435028789201</v>
          </cell>
          <cell r="E112">
            <v>933.01718610068747</v>
          </cell>
          <cell r="F112">
            <v>1215.9778554005959</v>
          </cell>
          <cell r="G112">
            <v>16.428914383561644</v>
          </cell>
          <cell r="J112">
            <v>631.56368132758632</v>
          </cell>
        </row>
        <row r="113">
          <cell r="D113">
            <v>0</v>
          </cell>
          <cell r="E113">
            <v>0</v>
          </cell>
          <cell r="F113">
            <v>0</v>
          </cell>
          <cell r="G113">
            <v>0</v>
          </cell>
          <cell r="J113">
            <v>0</v>
          </cell>
        </row>
        <row r="114">
          <cell r="D114">
            <v>0</v>
          </cell>
          <cell r="E114">
            <v>0</v>
          </cell>
          <cell r="F114">
            <v>0</v>
          </cell>
          <cell r="G114">
            <v>0</v>
          </cell>
          <cell r="J114">
            <v>0</v>
          </cell>
        </row>
        <row r="118">
          <cell r="D118">
            <v>13040.742602439654</v>
          </cell>
          <cell r="E118">
            <v>0</v>
          </cell>
          <cell r="F118">
            <v>0</v>
          </cell>
          <cell r="G118">
            <v>121.63811301369863</v>
          </cell>
          <cell r="J118">
            <v>1632.6222186810344</v>
          </cell>
        </row>
        <row r="119">
          <cell r="D119">
            <v>0</v>
          </cell>
          <cell r="E119">
            <v>0</v>
          </cell>
          <cell r="F119">
            <v>0</v>
          </cell>
          <cell r="G119">
            <v>0</v>
          </cell>
          <cell r="J119">
            <v>0</v>
          </cell>
        </row>
        <row r="123">
          <cell r="D123">
            <v>262.77834065563309</v>
          </cell>
          <cell r="E123">
            <v>1416.430282521459</v>
          </cell>
          <cell r="F123">
            <v>2413.7732126878327</v>
          </cell>
          <cell r="G123">
            <v>12.478949999999999</v>
          </cell>
          <cell r="J123">
            <v>606.8858033017242</v>
          </cell>
        </row>
        <row r="124">
          <cell r="D124">
            <v>0</v>
          </cell>
          <cell r="E124">
            <v>0</v>
          </cell>
          <cell r="F124">
            <v>0</v>
          </cell>
          <cell r="G124">
            <v>0</v>
          </cell>
          <cell r="J124">
            <v>0</v>
          </cell>
        </row>
        <row r="128">
          <cell r="D128">
            <v>408798.58803053456</v>
          </cell>
          <cell r="E128">
            <v>0</v>
          </cell>
          <cell r="F128">
            <v>0</v>
          </cell>
          <cell r="G128">
            <v>237.99717534246571</v>
          </cell>
          <cell r="J128">
            <v>3870.4537602500009</v>
          </cell>
        </row>
        <row r="129">
          <cell r="D129">
            <v>28.965318951724136</v>
          </cell>
          <cell r="G129">
            <v>1.9710246575342465</v>
          </cell>
          <cell r="J129">
            <v>0</v>
          </cell>
        </row>
        <row r="133">
          <cell r="D133">
            <v>18175.24295154327</v>
          </cell>
          <cell r="E133">
            <v>96563.406957456726</v>
          </cell>
          <cell r="F133">
            <v>133398.79562824525</v>
          </cell>
          <cell r="G133">
            <v>70.943264383561655</v>
          </cell>
          <cell r="J133">
            <v>2452.5003561982758</v>
          </cell>
        </row>
        <row r="134">
          <cell r="D134">
            <v>6.9664922394678516E-2</v>
          </cell>
          <cell r="E134">
            <v>0.88856101305223611</v>
          </cell>
          <cell r="F134">
            <v>2.9569237396821908</v>
          </cell>
          <cell r="G134">
            <v>1.3382136986301367</v>
          </cell>
          <cell r="J134">
            <v>0.9497207172413793</v>
          </cell>
        </row>
      </sheetData>
      <sheetData sheetId="7">
        <row r="6">
          <cell r="C6" t="str">
            <v>17:00 to 19:00</v>
          </cell>
          <cell r="E6" t="str">
            <v>No Change</v>
          </cell>
          <cell r="F6" t="str">
            <v>No Change</v>
          </cell>
          <cell r="G6" t="str">
            <v>No Change</v>
          </cell>
          <cell r="H6" t="str">
            <v>No Change</v>
          </cell>
        </row>
        <row r="8">
          <cell r="C8" t="str">
            <v>07:30 to 17:00</v>
          </cell>
          <cell r="D8" t="str">
            <v>16:30 to 19:30</v>
          </cell>
        </row>
        <row r="9">
          <cell r="C9" t="str">
            <v>19:00 to 21:30</v>
          </cell>
        </row>
        <row r="11">
          <cell r="C11" t="str">
            <v>00:00 to 07:30</v>
          </cell>
          <cell r="D11" t="str">
            <v>00:00 to 16:30</v>
          </cell>
        </row>
        <row r="12">
          <cell r="C12" t="str">
            <v>21:30 to 24:00</v>
          </cell>
          <cell r="D12" t="str">
            <v>19:30 to 24:00</v>
          </cell>
        </row>
        <row r="16">
          <cell r="C16" t="str">
            <v>17:00 to 19:00</v>
          </cell>
          <cell r="F16" t="str">
            <v>No Change</v>
          </cell>
          <cell r="G16" t="str">
            <v>No Change</v>
          </cell>
          <cell r="H16" t="str">
            <v>No Change</v>
          </cell>
          <cell r="I16" t="str">
            <v>No Change</v>
          </cell>
        </row>
        <row r="18">
          <cell r="C18" t="str">
            <v>07:30 to 17:00</v>
          </cell>
          <cell r="D18" t="str">
            <v>07:30 to 21:30</v>
          </cell>
          <cell r="E18" t="str">
            <v>16:30 to 19:30</v>
          </cell>
        </row>
        <row r="19">
          <cell r="C19" t="str">
            <v>19:00 to 21:30</v>
          </cell>
        </row>
        <row r="21">
          <cell r="C21" t="str">
            <v>00:00 to 07:30</v>
          </cell>
          <cell r="D21" t="str">
            <v>00:00 to 07:30</v>
          </cell>
          <cell r="E21" t="str">
            <v>00:00 to 16:30</v>
          </cell>
        </row>
        <row r="22">
          <cell r="C22" t="str">
            <v>21:30 to 24:00</v>
          </cell>
          <cell r="D22" t="str">
            <v>21:30 to 24:00</v>
          </cell>
          <cell r="E22" t="str">
            <v>19:30 to 24:00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mmentary"/>
      <sheetName val="CDCM Forecast Data"/>
      <sheetName val="Table 1"/>
      <sheetName val="Smoothed Input Details"/>
      <sheetName val="Mat of App"/>
      <sheetName val="CDCM Volume Forecasts"/>
      <sheetName val="CDCM Timebands"/>
      <sheetName val="(Y)"/>
      <sheetName val="(Y+1)"/>
      <sheetName val="(Y+2)"/>
      <sheetName val="(Y+3)"/>
      <sheetName val="(Y+4)"/>
      <sheetName val="Tariffs ARP"/>
      <sheetName val="Typical Bill"/>
      <sheetName val="Vlookup"/>
      <sheetName val="Tariffs"/>
      <sheetName val="Summary"/>
      <sheetName val="CDCM"/>
    </sheetNames>
    <sheetDataSet>
      <sheetData sheetId="0"/>
      <sheetData sheetId="1"/>
      <sheetData sheetId="2"/>
      <sheetData sheetId="3">
        <row r="3">
          <cell r="E3">
            <v>3.1278748850046112E-2</v>
          </cell>
          <cell r="F3">
            <v>3.0330062444246186E-2</v>
          </cell>
          <cell r="G3">
            <v>3.0303030303030276E-2</v>
          </cell>
          <cell r="H3">
            <v>3.1092436974790028E-2</v>
          </cell>
          <cell r="I3">
            <v>2.9339853300733409E-2</v>
          </cell>
          <cell r="J3">
            <v>3.0878859857482288E-2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D32"/>
  <sheetViews>
    <sheetView showGridLines="0" workbookViewId="0">
      <selection activeCell="B4" sqref="B4"/>
    </sheetView>
  </sheetViews>
  <sheetFormatPr defaultColWidth="8.85546875" defaultRowHeight="12.75"/>
  <cols>
    <col min="1" max="1" width="33.42578125" style="16" customWidth="1"/>
    <col min="2" max="2" width="22.85546875" style="17" customWidth="1"/>
    <col min="3" max="3" width="8.85546875" style="16"/>
    <col min="4" max="4" width="68.140625" style="16" customWidth="1"/>
    <col min="5" max="16384" width="8.85546875" style="16"/>
  </cols>
  <sheetData>
    <row r="2" spans="1:4" ht="23.25">
      <c r="A2" s="25" t="s">
        <v>1416</v>
      </c>
    </row>
    <row r="4" spans="1:4">
      <c r="A4" s="16" t="s">
        <v>1008</v>
      </c>
      <c r="B4" s="24" t="str">
        <f>'CDCM Forecast Data'!E3</f>
        <v>WPD South West</v>
      </c>
    </row>
    <row r="5" spans="1:4">
      <c r="A5" s="16" t="s">
        <v>1007</v>
      </c>
      <c r="B5" s="23">
        <f>'CDCM Forecast Data'!E4</f>
        <v>42736</v>
      </c>
    </row>
    <row r="7" spans="1:4">
      <c r="A7" s="311" t="str">
        <f xml:space="preserve"> "Although every effort has been made to ensure the accuracy of the information provided in this annual review pack, " &amp; 'CDCM Forecast Data'!E3 &amp; " does not accept any liability for the accuracy of the information contained herein and, in particular, " &amp; 'CDCM Forecast Data'!E3 &amp; " or any of its employees, shall not be held liable for any misstatement or opinion on which the recipient of this statement relies or seeks to rely."</f>
        <v>Although every effort has been made to ensure the accuracy of the information provided in this annual review pack, WPD South West does not accept any liability for the accuracy of the information contained herein and, in particular, WPD South West or any of its employees, shall not be held liable for any misstatement or opinion on which the recipient of this statement relies or seeks to rely.</v>
      </c>
      <c r="B7" s="312"/>
      <c r="C7" s="312"/>
      <c r="D7" s="313"/>
    </row>
    <row r="8" spans="1:4">
      <c r="A8" s="314"/>
      <c r="B8" s="315"/>
      <c r="C8" s="315"/>
      <c r="D8" s="316"/>
    </row>
    <row r="9" spans="1:4">
      <c r="A9" s="314"/>
      <c r="B9" s="315"/>
      <c r="C9" s="315"/>
      <c r="D9" s="316"/>
    </row>
    <row r="10" spans="1:4">
      <c r="A10" s="317"/>
      <c r="B10" s="318"/>
      <c r="C10" s="318"/>
      <c r="D10" s="319"/>
    </row>
    <row r="12" spans="1:4">
      <c r="A12" s="22" t="s">
        <v>1006</v>
      </c>
    </row>
    <row r="13" spans="1:4">
      <c r="A13" s="22"/>
    </row>
    <row r="14" spans="1:4">
      <c r="A14" s="21" t="s">
        <v>1005</v>
      </c>
      <c r="B14" s="320" t="s">
        <v>1004</v>
      </c>
      <c r="C14" s="320"/>
      <c r="D14" s="320"/>
    </row>
    <row r="15" spans="1:4" ht="29.25" customHeight="1">
      <c r="A15" s="19" t="s">
        <v>1003</v>
      </c>
      <c r="B15" s="310" t="s">
        <v>1002</v>
      </c>
      <c r="C15" s="310"/>
      <c r="D15" s="310"/>
    </row>
    <row r="16" spans="1:4" ht="75.75" customHeight="1">
      <c r="A16" s="19" t="s">
        <v>1001</v>
      </c>
      <c r="B16" s="310" t="s">
        <v>1000</v>
      </c>
      <c r="C16" s="310"/>
      <c r="D16" s="310"/>
    </row>
    <row r="17" spans="1:4" ht="29.25" customHeight="1">
      <c r="A17" s="19" t="s">
        <v>1122</v>
      </c>
      <c r="B17" s="310" t="s">
        <v>1123</v>
      </c>
      <c r="C17" s="310"/>
      <c r="D17" s="310"/>
    </row>
    <row r="18" spans="1:4" ht="36" customHeight="1">
      <c r="A18" s="19" t="s">
        <v>999</v>
      </c>
      <c r="B18" s="307" t="s">
        <v>998</v>
      </c>
      <c r="C18" s="308"/>
      <c r="D18" s="309"/>
    </row>
    <row r="19" spans="1:4" ht="36" customHeight="1">
      <c r="A19" s="19" t="s">
        <v>997</v>
      </c>
      <c r="B19" s="307" t="s">
        <v>996</v>
      </c>
      <c r="C19" s="308"/>
      <c r="D19" s="309"/>
    </row>
    <row r="20" spans="1:4" ht="29.25" customHeight="1">
      <c r="A20" s="20" t="s">
        <v>995</v>
      </c>
      <c r="B20" s="310" t="s">
        <v>994</v>
      </c>
      <c r="C20" s="310"/>
      <c r="D20" s="310"/>
    </row>
    <row r="21" spans="1:4" ht="41.25" customHeight="1">
      <c r="A21" s="19" t="s">
        <v>993</v>
      </c>
      <c r="B21" s="310" t="s">
        <v>992</v>
      </c>
      <c r="C21" s="310"/>
      <c r="D21" s="310"/>
    </row>
    <row r="22" spans="1:4" ht="41.25" customHeight="1">
      <c r="A22" s="19" t="s">
        <v>991</v>
      </c>
      <c r="B22" s="310" t="s">
        <v>990</v>
      </c>
      <c r="C22" s="310"/>
      <c r="D22" s="310"/>
    </row>
    <row r="23" spans="1:4" ht="41.25" customHeight="1">
      <c r="A23" s="19" t="s">
        <v>989</v>
      </c>
      <c r="B23" s="310" t="s">
        <v>988</v>
      </c>
      <c r="C23" s="310"/>
      <c r="D23" s="310"/>
    </row>
    <row r="24" spans="1:4" ht="41.25" customHeight="1">
      <c r="A24" s="19" t="s">
        <v>987</v>
      </c>
      <c r="B24" s="310" t="s">
        <v>986</v>
      </c>
      <c r="C24" s="310"/>
      <c r="D24" s="310"/>
    </row>
    <row r="25" spans="1:4" ht="41.25" customHeight="1">
      <c r="A25" s="19" t="s">
        <v>985</v>
      </c>
      <c r="B25" s="310" t="s">
        <v>984</v>
      </c>
      <c r="C25" s="310"/>
      <c r="D25" s="310"/>
    </row>
    <row r="26" spans="1:4" ht="41.25" customHeight="1">
      <c r="A26" s="18" t="s">
        <v>983</v>
      </c>
      <c r="B26" s="310" t="s">
        <v>982</v>
      </c>
      <c r="C26" s="310"/>
      <c r="D26" s="310"/>
    </row>
    <row r="29" spans="1:4" ht="15">
      <c r="A29" s="2" t="s">
        <v>1733</v>
      </c>
    </row>
    <row r="30" spans="1:4" ht="15">
      <c r="A30" s="2" t="s">
        <v>967</v>
      </c>
    </row>
    <row r="31" spans="1:4" ht="15">
      <c r="A31" s="2" t="s">
        <v>968</v>
      </c>
    </row>
    <row r="32" spans="1:4" ht="15">
      <c r="A32" s="2" t="s">
        <v>969</v>
      </c>
    </row>
  </sheetData>
  <mergeCells count="14">
    <mergeCell ref="A7:D10"/>
    <mergeCell ref="B14:D14"/>
    <mergeCell ref="B15:D15"/>
    <mergeCell ref="B16:D16"/>
    <mergeCell ref="B18:D18"/>
    <mergeCell ref="B17:D17"/>
    <mergeCell ref="B19:D19"/>
    <mergeCell ref="B26:D26"/>
    <mergeCell ref="B20:D20"/>
    <mergeCell ref="B21:D21"/>
    <mergeCell ref="B22:D22"/>
    <mergeCell ref="B23:D23"/>
    <mergeCell ref="B24:D24"/>
    <mergeCell ref="B25:D25"/>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L350"/>
  <sheetViews>
    <sheetView showGridLines="0" workbookViewId="0">
      <selection activeCell="A4" sqref="A4:K350"/>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1125</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224</v>
      </c>
      <c r="B5"/>
      <c r="C5"/>
      <c r="D5"/>
      <c r="E5"/>
      <c r="F5"/>
      <c r="G5"/>
      <c r="H5"/>
      <c r="I5"/>
      <c r="J5"/>
      <c r="K5"/>
    </row>
    <row r="6" spans="1:11" ht="15">
      <c r="A6"/>
      <c r="B6" s="3" t="s">
        <v>1</v>
      </c>
      <c r="C6" s="3" t="s">
        <v>2</v>
      </c>
      <c r="D6" s="3" t="s">
        <v>3</v>
      </c>
      <c r="E6"/>
      <c r="F6"/>
      <c r="G6"/>
      <c r="H6"/>
      <c r="I6"/>
      <c r="J6"/>
      <c r="K6"/>
    </row>
    <row r="7" spans="1:11" ht="15">
      <c r="A7" s="8" t="s">
        <v>4</v>
      </c>
      <c r="B7" s="9">
        <f>VLOOKUP(Vlookup!B7,'CDCM Forecast Data'!$A$14:$I$271,6,FALSE)</f>
        <v>0</v>
      </c>
      <c r="C7" s="9">
        <f>VLOOKUP(Vlookup!C7,'CDCM Forecast Data'!$A$14:$I$271,6,FALSE)</f>
        <v>0</v>
      </c>
      <c r="D7" s="9">
        <f>VLOOKUP(Vlookup!D7,'CDCM Forecast Data'!$A$14:$I$271,6,FALSE)</f>
        <v>0</v>
      </c>
      <c r="E7" s="7" t="s">
        <v>224</v>
      </c>
      <c r="F7"/>
      <c r="G7"/>
      <c r="H7"/>
      <c r="I7"/>
      <c r="J7"/>
      <c r="K7"/>
    </row>
    <row r="8" spans="1:11" ht="15">
      <c r="A8"/>
      <c r="B8"/>
      <c r="C8"/>
      <c r="D8"/>
      <c r="E8"/>
      <c r="F8"/>
      <c r="G8"/>
      <c r="H8"/>
      <c r="I8"/>
      <c r="J8"/>
      <c r="K8"/>
    </row>
    <row r="9" spans="1:11" ht="19.5">
      <c r="A9" s="1" t="s">
        <v>7</v>
      </c>
      <c r="B9"/>
      <c r="C9"/>
      <c r="D9"/>
      <c r="E9"/>
      <c r="F9"/>
      <c r="G9"/>
      <c r="H9"/>
      <c r="I9"/>
      <c r="J9"/>
      <c r="K9"/>
    </row>
    <row r="10" spans="1:11" ht="15">
      <c r="A10" s="2"/>
      <c r="B10"/>
      <c r="C10"/>
      <c r="D10"/>
      <c r="E10"/>
      <c r="F10"/>
      <c r="G10"/>
      <c r="H10"/>
      <c r="I10"/>
      <c r="J10"/>
      <c r="K10"/>
    </row>
    <row r="11" spans="1:11" ht="15">
      <c r="A11" s="2" t="s">
        <v>8</v>
      </c>
      <c r="B11"/>
      <c r="C11"/>
      <c r="D11"/>
      <c r="E11"/>
      <c r="F11"/>
      <c r="G11"/>
      <c r="H11"/>
      <c r="I11"/>
      <c r="J11"/>
      <c r="K11"/>
    </row>
    <row r="12" spans="1:11" ht="15">
      <c r="A12" t="s">
        <v>9</v>
      </c>
      <c r="B12"/>
      <c r="C12"/>
      <c r="D12"/>
      <c r="E12"/>
      <c r="F12"/>
      <c r="G12"/>
      <c r="H12"/>
      <c r="I12"/>
      <c r="J12"/>
      <c r="K12"/>
    </row>
    <row r="13" spans="1:11" ht="45">
      <c r="A13"/>
      <c r="B13" s="3" t="s">
        <v>10</v>
      </c>
      <c r="C13" s="3" t="s">
        <v>11</v>
      </c>
      <c r="D13" s="3" t="s">
        <v>12</v>
      </c>
      <c r="E13" s="3" t="s">
        <v>13</v>
      </c>
      <c r="F13" s="3" t="s">
        <v>1050</v>
      </c>
      <c r="G13"/>
      <c r="H13"/>
      <c r="I13"/>
      <c r="J13"/>
      <c r="K13"/>
    </row>
    <row r="14" spans="1:11" ht="15">
      <c r="A14" s="8" t="s">
        <v>14</v>
      </c>
      <c r="B14" s="11">
        <f>VLOOKUP(Vlookup!B14,'CDCM Forecast Data'!$A$14:$I$271,6,FALSE)</f>
        <v>4.2099999999999999E-2</v>
      </c>
      <c r="C14" s="10">
        <f>VLOOKUP(Vlookup!C14,'CDCM Forecast Data'!$A$14:$I$271,6,FALSE)</f>
        <v>40</v>
      </c>
      <c r="D14" s="5"/>
      <c r="E14" s="4">
        <f>VLOOKUP(Vlookup!E14,'CDCM Forecast Data'!$A$14:$I$271,6,FALSE)</f>
        <v>0.95</v>
      </c>
      <c r="F14" s="10">
        <f>VLOOKUP(Vlookup!F14,'CDCM Forecast Data'!$A$14:$I$271,6,FALSE)</f>
        <v>365</v>
      </c>
      <c r="G14" s="7" t="s">
        <v>224</v>
      </c>
      <c r="H14"/>
      <c r="I14"/>
      <c r="J14"/>
      <c r="K14"/>
    </row>
    <row r="15" spans="1:11" ht="15">
      <c r="A15"/>
      <c r="B15"/>
      <c r="C15"/>
      <c r="D15"/>
      <c r="E15"/>
      <c r="F15"/>
      <c r="G15"/>
      <c r="H15"/>
      <c r="I15"/>
      <c r="J15"/>
      <c r="K15"/>
    </row>
    <row r="16" spans="1:11" ht="19.5">
      <c r="A16" s="1" t="s">
        <v>15</v>
      </c>
      <c r="B16"/>
      <c r="C16"/>
      <c r="D16"/>
      <c r="E16"/>
      <c r="F16"/>
      <c r="G16"/>
      <c r="H16"/>
      <c r="I16"/>
      <c r="J16"/>
      <c r="K16"/>
    </row>
    <row r="17" spans="1:11" ht="15">
      <c r="A17" s="2"/>
      <c r="B17"/>
      <c r="C17"/>
      <c r="D17"/>
      <c r="E17"/>
      <c r="F17"/>
      <c r="G17"/>
      <c r="H17"/>
      <c r="I17"/>
      <c r="J17"/>
      <c r="K17"/>
    </row>
    <row r="18" spans="1:11" ht="15">
      <c r="A18" s="2" t="s">
        <v>16</v>
      </c>
      <c r="B18"/>
      <c r="C18"/>
      <c r="D18"/>
      <c r="E18"/>
      <c r="F18"/>
      <c r="G18"/>
      <c r="H18"/>
      <c r="I18"/>
      <c r="J18"/>
      <c r="K18"/>
    </row>
    <row r="19" spans="1:11" ht="15">
      <c r="A19" s="2" t="s">
        <v>17</v>
      </c>
      <c r="B19"/>
      <c r="C19"/>
      <c r="D19"/>
      <c r="E19"/>
      <c r="F19"/>
      <c r="G19"/>
      <c r="H19"/>
      <c r="I19"/>
      <c r="J19"/>
      <c r="K19"/>
    </row>
    <row r="20" spans="1:11" ht="15">
      <c r="A20" s="2" t="s">
        <v>18</v>
      </c>
      <c r="B20"/>
      <c r="C20"/>
      <c r="D20"/>
      <c r="E20"/>
      <c r="F20"/>
      <c r="G20"/>
      <c r="H20"/>
      <c r="I20"/>
      <c r="J20"/>
      <c r="K20"/>
    </row>
    <row r="21" spans="1:11" ht="15">
      <c r="A21" s="2" t="s">
        <v>19</v>
      </c>
      <c r="B21"/>
      <c r="C21"/>
      <c r="D21"/>
      <c r="E21"/>
      <c r="F21"/>
      <c r="G21"/>
      <c r="H21"/>
      <c r="I21"/>
      <c r="J21"/>
      <c r="K21"/>
    </row>
    <row r="22" spans="1:11" ht="15">
      <c r="A22" t="s">
        <v>20</v>
      </c>
      <c r="B22"/>
      <c r="C22"/>
      <c r="D22"/>
      <c r="E22"/>
      <c r="F22"/>
      <c r="G22"/>
      <c r="H22"/>
      <c r="I22"/>
      <c r="J22"/>
      <c r="K22"/>
    </row>
    <row r="23" spans="1:11" ht="60">
      <c r="A23"/>
      <c r="B23" s="3" t="s">
        <v>21</v>
      </c>
      <c r="C23"/>
      <c r="D23"/>
      <c r="E23"/>
      <c r="F23"/>
      <c r="G23"/>
      <c r="H23"/>
      <c r="I23"/>
      <c r="J23"/>
      <c r="K23"/>
    </row>
    <row r="24" spans="1:11" ht="15">
      <c r="A24" s="8" t="s">
        <v>22</v>
      </c>
      <c r="B24" s="11">
        <f>VLOOKUP(Vlookup!B24,'CDCM Forecast Data'!$A$14:$I$271,6,FALSE)</f>
        <v>2.1999999999999999E-2</v>
      </c>
      <c r="C24" s="7" t="s">
        <v>224</v>
      </c>
      <c r="D24"/>
      <c r="E24"/>
      <c r="F24"/>
      <c r="G24"/>
      <c r="H24"/>
      <c r="I24"/>
      <c r="J24"/>
      <c r="K24"/>
    </row>
    <row r="25" spans="1:11" ht="15">
      <c r="A25" s="8" t="s">
        <v>23</v>
      </c>
      <c r="B25" s="11">
        <f>VLOOKUP(Vlookup!B25,'CDCM Forecast Data'!$A$14:$I$271,6,FALSE)</f>
        <v>3.1E-2</v>
      </c>
      <c r="C25" s="7" t="s">
        <v>224</v>
      </c>
      <c r="D25"/>
      <c r="E25"/>
      <c r="F25"/>
      <c r="G25"/>
      <c r="H25"/>
      <c r="I25"/>
      <c r="J25"/>
      <c r="K25"/>
    </row>
    <row r="26" spans="1:11" ht="15">
      <c r="A26" s="8" t="s">
        <v>24</v>
      </c>
      <c r="B26" s="6"/>
      <c r="C26" s="7" t="s">
        <v>224</v>
      </c>
      <c r="D26"/>
      <c r="E26"/>
      <c r="F26"/>
      <c r="G26"/>
      <c r="H26"/>
      <c r="I26"/>
      <c r="J26"/>
      <c r="K26"/>
    </row>
    <row r="27" spans="1:11" ht="15">
      <c r="A27" s="8" t="s">
        <v>25</v>
      </c>
      <c r="B27" s="11">
        <f>VLOOKUP(Vlookup!B27,'CDCM Forecast Data'!$A$14:$I$271,6,FALSE)</f>
        <v>7.4999999999999997E-2</v>
      </c>
      <c r="C27" s="7" t="s">
        <v>224</v>
      </c>
      <c r="D27"/>
      <c r="E27"/>
      <c r="F27"/>
      <c r="G27"/>
      <c r="H27"/>
      <c r="I27"/>
      <c r="J27"/>
      <c r="K27"/>
    </row>
    <row r="28" spans="1:11" ht="15">
      <c r="A28" s="8" t="s">
        <v>26</v>
      </c>
      <c r="B28" s="6"/>
      <c r="C28" s="7" t="s">
        <v>224</v>
      </c>
      <c r="D28"/>
      <c r="E28"/>
      <c r="F28"/>
      <c r="G28"/>
      <c r="H28"/>
      <c r="I28"/>
      <c r="J28"/>
      <c r="K28"/>
    </row>
    <row r="29" spans="1:11" ht="15">
      <c r="A29" s="8" t="s">
        <v>27</v>
      </c>
      <c r="B29" s="11">
        <f>VLOOKUP(Vlookup!B29,'CDCM Forecast Data'!$A$14:$I$271,6,FALSE)</f>
        <v>0.37</v>
      </c>
      <c r="C29" s="7" t="s">
        <v>224</v>
      </c>
      <c r="D29"/>
      <c r="E29"/>
      <c r="F29"/>
      <c r="G29"/>
      <c r="H29"/>
      <c r="I29"/>
      <c r="J29"/>
      <c r="K29"/>
    </row>
    <row r="30" spans="1:11" ht="15">
      <c r="A30" s="8" t="s">
        <v>28</v>
      </c>
      <c r="B30" s="6"/>
      <c r="C30" s="7" t="s">
        <v>224</v>
      </c>
      <c r="D30"/>
      <c r="E30"/>
      <c r="F30"/>
      <c r="G30"/>
      <c r="H30"/>
      <c r="I30"/>
      <c r="J30"/>
      <c r="K30"/>
    </row>
    <row r="31" spans="1:11" ht="15">
      <c r="A31" s="8" t="s">
        <v>29</v>
      </c>
      <c r="B31" s="6"/>
      <c r="C31" s="7" t="s">
        <v>224</v>
      </c>
      <c r="D31"/>
      <c r="E31"/>
      <c r="F31"/>
      <c r="G31"/>
      <c r="H31"/>
      <c r="I31"/>
      <c r="J31"/>
      <c r="K31"/>
    </row>
    <row r="32" spans="1:11" ht="15">
      <c r="A32"/>
      <c r="B32"/>
      <c r="C32"/>
      <c r="D32"/>
      <c r="E32"/>
      <c r="F32"/>
      <c r="G32"/>
      <c r="H32"/>
      <c r="I32"/>
      <c r="J32"/>
      <c r="K32"/>
    </row>
    <row r="33" spans="1:11" ht="19.5">
      <c r="A33" s="1" t="s">
        <v>30</v>
      </c>
      <c r="B33"/>
      <c r="C33"/>
      <c r="D33"/>
      <c r="E33"/>
      <c r="F33"/>
      <c r="G33"/>
      <c r="H33"/>
      <c r="I33"/>
      <c r="J33"/>
      <c r="K33"/>
    </row>
    <row r="34" spans="1:11" ht="15">
      <c r="A34" t="s">
        <v>224</v>
      </c>
      <c r="B34"/>
      <c r="C34"/>
      <c r="D34"/>
      <c r="E34"/>
      <c r="F34"/>
      <c r="G34"/>
      <c r="H34"/>
      <c r="I34"/>
      <c r="J34"/>
      <c r="K34"/>
    </row>
    <row r="35" spans="1:11" ht="15">
      <c r="A35"/>
      <c r="B35" s="3" t="s">
        <v>31</v>
      </c>
      <c r="C35"/>
      <c r="D35"/>
      <c r="E35"/>
      <c r="F35"/>
      <c r="G35"/>
      <c r="H35"/>
      <c r="I35"/>
      <c r="J35"/>
      <c r="K35"/>
    </row>
    <row r="36" spans="1:11" ht="15">
      <c r="A36" s="8" t="s">
        <v>26</v>
      </c>
      <c r="B36" s="11">
        <f>VLOOKUP(Vlookup!B36,'CDCM Forecast Data'!$A$14:$I$271,6,FALSE)</f>
        <v>0</v>
      </c>
      <c r="C36" s="7" t="s">
        <v>224</v>
      </c>
      <c r="D36"/>
      <c r="E36"/>
      <c r="F36"/>
      <c r="G36"/>
      <c r="H36"/>
      <c r="I36"/>
      <c r="J36"/>
      <c r="K36"/>
    </row>
    <row r="37" spans="1:11" ht="15">
      <c r="A37"/>
      <c r="B37"/>
      <c r="C37"/>
      <c r="D37"/>
      <c r="E37"/>
      <c r="F37"/>
      <c r="G37"/>
      <c r="H37"/>
      <c r="I37"/>
      <c r="J37"/>
      <c r="K37"/>
    </row>
    <row r="38" spans="1:11" ht="19.5">
      <c r="A38" s="1" t="s">
        <v>32</v>
      </c>
      <c r="B38"/>
      <c r="C38"/>
      <c r="D38"/>
      <c r="E38"/>
      <c r="F38"/>
      <c r="G38"/>
      <c r="H38"/>
      <c r="I38"/>
      <c r="J38"/>
      <c r="K38"/>
    </row>
    <row r="39" spans="1:11" ht="15">
      <c r="A39"/>
      <c r="B39"/>
      <c r="C39"/>
      <c r="D39"/>
      <c r="E39"/>
      <c r="F39"/>
      <c r="G39"/>
      <c r="H39"/>
      <c r="I39"/>
      <c r="J39"/>
      <c r="K39"/>
    </row>
    <row r="40" spans="1:11" ht="30">
      <c r="A40"/>
      <c r="B40" s="3" t="s">
        <v>33</v>
      </c>
      <c r="C40"/>
      <c r="D40"/>
      <c r="E40"/>
      <c r="F40"/>
      <c r="G40"/>
      <c r="H40"/>
      <c r="I40"/>
      <c r="J40"/>
      <c r="K40"/>
    </row>
    <row r="41" spans="1:11" ht="15">
      <c r="A41" s="8" t="s">
        <v>33</v>
      </c>
      <c r="B41" s="10">
        <f>VLOOKUP(Vlookup!B41,'CDCM Forecast Data'!$A$14:$I$271,6,FALSE)</f>
        <v>500</v>
      </c>
      <c r="C41" s="7" t="s">
        <v>224</v>
      </c>
      <c r="D41"/>
      <c r="E41"/>
      <c r="F41"/>
      <c r="G41"/>
      <c r="H41"/>
      <c r="I41"/>
      <c r="J41"/>
      <c r="K41"/>
    </row>
    <row r="42" spans="1:11" ht="15">
      <c r="A42"/>
      <c r="B42"/>
      <c r="C42"/>
      <c r="D42"/>
      <c r="E42"/>
      <c r="F42"/>
      <c r="G42"/>
      <c r="H42"/>
      <c r="I42"/>
      <c r="J42"/>
      <c r="K42"/>
    </row>
    <row r="43" spans="1:11" ht="19.5">
      <c r="A43" s="1" t="s">
        <v>34</v>
      </c>
      <c r="B43"/>
      <c r="C43"/>
      <c r="D43"/>
      <c r="E43"/>
      <c r="F43"/>
      <c r="G43"/>
      <c r="H43"/>
      <c r="I43"/>
      <c r="J43"/>
      <c r="K43"/>
    </row>
    <row r="44" spans="1:11" ht="15">
      <c r="A44"/>
      <c r="B44"/>
      <c r="C44"/>
      <c r="D44"/>
      <c r="E44"/>
      <c r="F44"/>
      <c r="G44"/>
      <c r="H44"/>
      <c r="I44"/>
      <c r="J44"/>
      <c r="K44"/>
    </row>
    <row r="45" spans="1:11" ht="15">
      <c r="A45"/>
      <c r="B45" s="3" t="s">
        <v>35</v>
      </c>
      <c r="C45"/>
      <c r="D45"/>
      <c r="E45"/>
      <c r="F45"/>
      <c r="G45"/>
      <c r="H45"/>
      <c r="I45"/>
      <c r="J45"/>
      <c r="K45"/>
    </row>
    <row r="46" spans="1:11" ht="15">
      <c r="A46" s="8" t="s">
        <v>23</v>
      </c>
      <c r="B46" s="10">
        <f>VLOOKUP(Vlookup!B46,'CDCM Forecast Data'!$A$14:$I$271,6,FALSE)</f>
        <v>121964810.75950332</v>
      </c>
      <c r="C46" s="7" t="s">
        <v>224</v>
      </c>
      <c r="D46"/>
      <c r="E46"/>
      <c r="F46"/>
      <c r="G46"/>
      <c r="H46"/>
      <c r="I46"/>
      <c r="J46"/>
      <c r="K46"/>
    </row>
    <row r="47" spans="1:11" ht="15">
      <c r="A47" s="8" t="s">
        <v>24</v>
      </c>
      <c r="B47" s="10">
        <f>VLOOKUP(Vlookup!B47,'CDCM Forecast Data'!$A$14:$I$271,6,FALSE)</f>
        <v>17275004.232352566</v>
      </c>
      <c r="C47" s="7" t="s">
        <v>224</v>
      </c>
      <c r="D47"/>
      <c r="E47"/>
      <c r="F47"/>
      <c r="G47"/>
      <c r="H47"/>
      <c r="I47"/>
      <c r="J47"/>
      <c r="K47"/>
    </row>
    <row r="48" spans="1:11" ht="15">
      <c r="A48" s="8" t="s">
        <v>25</v>
      </c>
      <c r="B48" s="10">
        <f>VLOOKUP(Vlookup!B48,'CDCM Forecast Data'!$A$14:$I$271,6,FALSE)</f>
        <v>43610695.918408871</v>
      </c>
      <c r="C48" s="7" t="s">
        <v>224</v>
      </c>
      <c r="D48"/>
      <c r="E48"/>
      <c r="F48"/>
      <c r="G48"/>
      <c r="H48"/>
      <c r="I48"/>
      <c r="J48"/>
      <c r="K48"/>
    </row>
    <row r="49" spans="1:11" ht="15">
      <c r="A49" s="8" t="s">
        <v>26</v>
      </c>
      <c r="B49" s="10">
        <f>VLOOKUP(Vlookup!B49,'CDCM Forecast Data'!$A$14:$I$271,6,FALSE)</f>
        <v>43830764.225491256</v>
      </c>
      <c r="C49" s="7" t="s">
        <v>224</v>
      </c>
      <c r="D49"/>
      <c r="E49"/>
      <c r="F49"/>
      <c r="G49"/>
      <c r="H49"/>
      <c r="I49"/>
      <c r="J49"/>
      <c r="K49"/>
    </row>
    <row r="50" spans="1:11" ht="15">
      <c r="A50" s="8" t="s">
        <v>31</v>
      </c>
      <c r="B50" s="10">
        <f>VLOOKUP(Vlookup!B50,'CDCM Forecast Data'!$A$14:$I$271,6,FALSE)</f>
        <v>0</v>
      </c>
      <c r="C50" s="7" t="s">
        <v>224</v>
      </c>
      <c r="D50"/>
      <c r="E50"/>
      <c r="F50"/>
      <c r="G50"/>
      <c r="H50"/>
      <c r="I50"/>
      <c r="J50"/>
      <c r="K50"/>
    </row>
    <row r="51" spans="1:11" ht="15">
      <c r="A51" s="8" t="s">
        <v>27</v>
      </c>
      <c r="B51" s="10">
        <f>VLOOKUP(Vlookup!B51,'CDCM Forecast Data'!$A$14:$I$271,6,FALSE)</f>
        <v>156099204.3221077</v>
      </c>
      <c r="C51" s="7" t="s">
        <v>224</v>
      </c>
      <c r="D51"/>
      <c r="E51"/>
      <c r="F51"/>
      <c r="G51"/>
      <c r="H51"/>
      <c r="I51"/>
      <c r="J51"/>
      <c r="K51"/>
    </row>
    <row r="52" spans="1:11" ht="15">
      <c r="A52" s="8" t="s">
        <v>28</v>
      </c>
      <c r="B52" s="10">
        <f>VLOOKUP(Vlookup!B52,'CDCM Forecast Data'!$A$14:$I$271,6,FALSE)</f>
        <v>66520556.52520702</v>
      </c>
      <c r="C52" s="7" t="s">
        <v>224</v>
      </c>
      <c r="D52"/>
      <c r="E52"/>
      <c r="F52"/>
      <c r="G52"/>
      <c r="H52"/>
      <c r="I52"/>
      <c r="J52"/>
      <c r="K52"/>
    </row>
    <row r="53" spans="1:11" ht="15">
      <c r="A53" s="8" t="s">
        <v>29</v>
      </c>
      <c r="B53" s="10">
        <f>VLOOKUP(Vlookup!B53,'CDCM Forecast Data'!$A$14:$I$271,6,FALSE)</f>
        <v>142868591.04732382</v>
      </c>
      <c r="C53" s="7" t="s">
        <v>224</v>
      </c>
      <c r="D53"/>
      <c r="E53"/>
      <c r="F53"/>
      <c r="G53"/>
      <c r="H53"/>
      <c r="I53"/>
      <c r="J53"/>
      <c r="K53"/>
    </row>
    <row r="54" spans="1:11" ht="15">
      <c r="A54"/>
      <c r="B54"/>
      <c r="C54"/>
      <c r="D54"/>
      <c r="E54"/>
      <c r="F54"/>
      <c r="G54"/>
      <c r="H54"/>
      <c r="I54"/>
      <c r="J54"/>
      <c r="K54"/>
    </row>
    <row r="55" spans="1:11" ht="19.5">
      <c r="A55" s="1" t="s">
        <v>36</v>
      </c>
      <c r="B55"/>
      <c r="C55"/>
      <c r="D55"/>
      <c r="E55"/>
      <c r="F55"/>
      <c r="G55"/>
      <c r="H55"/>
      <c r="I55"/>
      <c r="J55"/>
      <c r="K55"/>
    </row>
    <row r="56" spans="1:11" ht="15">
      <c r="A56"/>
      <c r="B56"/>
      <c r="C56"/>
      <c r="D56"/>
      <c r="E56"/>
      <c r="F56"/>
      <c r="G56"/>
      <c r="H56"/>
      <c r="I56"/>
      <c r="J56"/>
      <c r="K56"/>
    </row>
    <row r="57" spans="1:11" ht="15">
      <c r="A57"/>
      <c r="B57" s="3" t="s">
        <v>37</v>
      </c>
      <c r="C57" s="3" t="s">
        <v>38</v>
      </c>
      <c r="D57" s="3" t="s">
        <v>39</v>
      </c>
      <c r="E57" s="3" t="s">
        <v>40</v>
      </c>
      <c r="F57" s="3" t="s">
        <v>41</v>
      </c>
      <c r="G57" s="3" t="s">
        <v>42</v>
      </c>
      <c r="H57" s="3" t="s">
        <v>43</v>
      </c>
      <c r="I57" s="3" t="s">
        <v>44</v>
      </c>
      <c r="J57"/>
      <c r="K57"/>
    </row>
    <row r="58" spans="1:11" ht="15">
      <c r="A58" s="8" t="s">
        <v>45</v>
      </c>
      <c r="B58" s="10">
        <f>VLOOKUP(Vlookup!B58,'CDCM Forecast Data'!$A$14:$I$271,6,FALSE)</f>
        <v>5588.3351504860111</v>
      </c>
      <c r="C58" s="10">
        <f>VLOOKUP(Vlookup!C58,'CDCM Forecast Data'!$A$14:$I$271,6,FALSE)</f>
        <v>628.6318328643888</v>
      </c>
      <c r="D58" s="10">
        <f>VLOOKUP(Vlookup!D58,'CDCM Forecast Data'!$A$14:$I$271,6,FALSE)</f>
        <v>765.35477784395414</v>
      </c>
      <c r="E58" s="10">
        <f>VLOOKUP(Vlookup!E58,'CDCM Forecast Data'!$A$14:$I$271,6,FALSE)</f>
        <v>567.60238541659544</v>
      </c>
      <c r="F58" s="10">
        <f>VLOOKUP(Vlookup!F58,'CDCM Forecast Data'!$A$14:$I$271,6,FALSE)</f>
        <v>1290.2865379176383</v>
      </c>
      <c r="G58" s="10">
        <f>VLOOKUP(Vlookup!G58,'CDCM Forecast Data'!$A$14:$I$271,6,FALSE)</f>
        <v>993.7955806640482</v>
      </c>
      <c r="H58" s="10">
        <f>VLOOKUP(Vlookup!H58,'CDCM Forecast Data'!$A$14:$I$271,6,FALSE)</f>
        <v>0</v>
      </c>
      <c r="I58" s="10">
        <f>VLOOKUP(Vlookup!I58,'CDCM Forecast Data'!$A$14:$I$271,6,FALSE)</f>
        <v>519.76088671544551</v>
      </c>
      <c r="J58" s="7" t="s">
        <v>224</v>
      </c>
      <c r="K58"/>
    </row>
    <row r="59" spans="1:11" ht="15">
      <c r="A59"/>
      <c r="B59"/>
      <c r="C59"/>
      <c r="D59"/>
      <c r="E59"/>
      <c r="F59"/>
      <c r="G59"/>
      <c r="H59"/>
      <c r="I59"/>
      <c r="J59"/>
      <c r="K59"/>
    </row>
    <row r="60" spans="1:11" ht="19.5">
      <c r="A60" s="1" t="s">
        <v>46</v>
      </c>
      <c r="B60"/>
      <c r="C60"/>
      <c r="D60"/>
      <c r="E60"/>
      <c r="F60"/>
      <c r="G60"/>
      <c r="H60"/>
      <c r="I60"/>
      <c r="J60"/>
      <c r="K60"/>
    </row>
    <row r="61" spans="1:11" ht="15">
      <c r="A61"/>
      <c r="B61"/>
      <c r="C61"/>
      <c r="D61"/>
      <c r="E61"/>
      <c r="F61"/>
      <c r="G61"/>
      <c r="H61"/>
      <c r="I61"/>
      <c r="J61"/>
      <c r="K61"/>
    </row>
    <row r="62" spans="1:11" ht="15">
      <c r="A62"/>
      <c r="B62" s="3" t="s">
        <v>47</v>
      </c>
      <c r="C62" s="3" t="s">
        <v>48</v>
      </c>
      <c r="D62" s="3" t="s">
        <v>49</v>
      </c>
      <c r="E62" s="3" t="s">
        <v>50</v>
      </c>
      <c r="F62" s="3" t="s">
        <v>51</v>
      </c>
      <c r="G62"/>
      <c r="H62"/>
      <c r="I62"/>
      <c r="J62"/>
      <c r="K62"/>
    </row>
    <row r="63" spans="1:11" ht="15">
      <c r="A63" s="8" t="s">
        <v>52</v>
      </c>
      <c r="B63" s="10">
        <f>VLOOKUP(Vlookup!B63,'CDCM Forecast Data'!$A$14:$I$271,6,FALSE)</f>
        <v>9859.6053267015013</v>
      </c>
      <c r="C63" s="10">
        <f>VLOOKUP(Vlookup!C63,'CDCM Forecast Data'!$A$14:$I$271,6,FALSE)</f>
        <v>4753.6487965629094</v>
      </c>
      <c r="D63" s="10">
        <f>VLOOKUP(Vlookup!D63,'CDCM Forecast Data'!$A$14:$I$271,6,FALSE)</f>
        <v>0</v>
      </c>
      <c r="E63" s="10">
        <f>VLOOKUP(Vlookup!E63,'CDCM Forecast Data'!$A$14:$I$271,6,FALSE)</f>
        <v>0</v>
      </c>
      <c r="F63" s="10">
        <f>VLOOKUP(Vlookup!F63,'CDCM Forecast Data'!$A$14:$I$271,6,FALSE)</f>
        <v>0</v>
      </c>
      <c r="G63" s="7" t="s">
        <v>224</v>
      </c>
      <c r="H63"/>
      <c r="I63"/>
      <c r="J63"/>
      <c r="K63"/>
    </row>
    <row r="64" spans="1:11" ht="15">
      <c r="A64"/>
      <c r="B64"/>
      <c r="C64"/>
      <c r="D64"/>
      <c r="E64"/>
      <c r="F64"/>
      <c r="G64"/>
      <c r="H64"/>
      <c r="I64"/>
      <c r="J64"/>
      <c r="K64"/>
    </row>
    <row r="65" spans="1:11" ht="19.5">
      <c r="A65" s="1" t="s">
        <v>53</v>
      </c>
      <c r="B65"/>
      <c r="C65"/>
      <c r="D65"/>
      <c r="E65"/>
      <c r="F65"/>
      <c r="G65"/>
      <c r="H65"/>
      <c r="I65"/>
      <c r="J65"/>
      <c r="K65"/>
    </row>
    <row r="66" spans="1:11" ht="15">
      <c r="A66"/>
      <c r="B66">
        <v>10</v>
      </c>
      <c r="C66">
        <f t="shared" ref="C66:I66" si="0">B66+1</f>
        <v>11</v>
      </c>
      <c r="D66">
        <f t="shared" si="0"/>
        <v>12</v>
      </c>
      <c r="E66">
        <f t="shared" si="0"/>
        <v>13</v>
      </c>
      <c r="F66">
        <f t="shared" si="0"/>
        <v>14</v>
      </c>
      <c r="G66">
        <f t="shared" si="0"/>
        <v>15</v>
      </c>
      <c r="H66">
        <f t="shared" si="0"/>
        <v>16</v>
      </c>
      <c r="I66">
        <f t="shared" si="0"/>
        <v>17</v>
      </c>
      <c r="J66"/>
      <c r="K66"/>
    </row>
    <row r="67" spans="1:11" ht="15">
      <c r="A67"/>
      <c r="B67" s="3" t="s">
        <v>37</v>
      </c>
      <c r="C67" s="3" t="s">
        <v>38</v>
      </c>
      <c r="D67" s="3" t="s">
        <v>39</v>
      </c>
      <c r="E67" s="3" t="s">
        <v>40</v>
      </c>
      <c r="F67" s="3" t="s">
        <v>41</v>
      </c>
      <c r="G67" s="3" t="s">
        <v>42</v>
      </c>
      <c r="H67" s="3" t="s">
        <v>43</v>
      </c>
      <c r="I67" s="3" t="s">
        <v>44</v>
      </c>
      <c r="J67"/>
      <c r="K67"/>
    </row>
    <row r="68" spans="1:11" ht="15">
      <c r="A68" s="8" t="s">
        <v>54</v>
      </c>
      <c r="B68" s="11">
        <f>VLOOKUP($A68,'Mat of App'!$B$7:$AP$43,B$66,FALSE)</f>
        <v>0.05</v>
      </c>
      <c r="C68" s="11">
        <f>VLOOKUP($A68,'Mat of App'!$B$7:$AP$43,C$66,FALSE)</f>
        <v>0</v>
      </c>
      <c r="D68" s="11">
        <f>VLOOKUP($A68,'Mat of App'!$B$7:$AP$43,D$66,FALSE)</f>
        <v>0</v>
      </c>
      <c r="E68" s="11">
        <f>VLOOKUP($A68,'Mat of App'!$B$7:$AP$43,E$66,FALSE)</f>
        <v>0</v>
      </c>
      <c r="F68" s="11">
        <f>VLOOKUP($A68,'Mat of App'!$B$7:$AP$43,F$66,FALSE)</f>
        <v>0</v>
      </c>
      <c r="G68" s="11">
        <f>VLOOKUP($A68,'Mat of App'!$B$7:$AP$43,G$66,FALSE)</f>
        <v>0</v>
      </c>
      <c r="H68" s="11">
        <f>VLOOKUP($A68,'Mat of App'!$B$7:$AP$43,H$66,FALSE)</f>
        <v>0</v>
      </c>
      <c r="I68" s="11">
        <f>VLOOKUP($A68,'Mat of App'!$B$7:$AP$43,I$66,FALSE)</f>
        <v>0</v>
      </c>
      <c r="J68" s="7" t="s">
        <v>224</v>
      </c>
      <c r="K68"/>
    </row>
    <row r="69" spans="1:11" ht="15">
      <c r="A69" s="8" t="s">
        <v>55</v>
      </c>
      <c r="B69" s="11">
        <f>VLOOKUP($A69,'Mat of App'!$B$7:$AP$43,B$66,FALSE)</f>
        <v>0.05</v>
      </c>
      <c r="C69" s="11">
        <f>VLOOKUP($A69,'Mat of App'!$B$7:$AP$43,C$66,FALSE)</f>
        <v>0</v>
      </c>
      <c r="D69" s="11">
        <f>VLOOKUP($A69,'Mat of App'!$B$7:$AP$43,D$66,FALSE)</f>
        <v>0</v>
      </c>
      <c r="E69" s="11">
        <f>VLOOKUP($A69,'Mat of App'!$B$7:$AP$43,E$66,FALSE)</f>
        <v>0</v>
      </c>
      <c r="F69" s="11">
        <f>VLOOKUP($A69,'Mat of App'!$B$7:$AP$43,F$66,FALSE)</f>
        <v>0</v>
      </c>
      <c r="G69" s="11">
        <f>VLOOKUP($A69,'Mat of App'!$B$7:$AP$43,G$66,FALSE)</f>
        <v>0</v>
      </c>
      <c r="H69" s="11">
        <f>VLOOKUP($A69,'Mat of App'!$B$7:$AP$43,H$66,FALSE)</f>
        <v>0</v>
      </c>
      <c r="I69" s="11">
        <f>VLOOKUP($A69,'Mat of App'!$B$7:$AP$43,I$66,FALSE)</f>
        <v>0</v>
      </c>
      <c r="J69" s="7" t="s">
        <v>224</v>
      </c>
      <c r="K69"/>
    </row>
    <row r="70" spans="1:11" ht="15">
      <c r="A70" s="8" t="s">
        <v>56</v>
      </c>
      <c r="B70" s="11">
        <f>VLOOKUP($A70,'Mat of App'!$B$7:$AP$43,B$66,FALSE)</f>
        <v>0</v>
      </c>
      <c r="C70" s="11">
        <f>VLOOKUP($A70,'Mat of App'!$B$7:$AP$43,C$66,FALSE)</f>
        <v>1</v>
      </c>
      <c r="D70" s="11">
        <f>VLOOKUP($A70,'Mat of App'!$B$7:$AP$43,D$66,FALSE)</f>
        <v>0</v>
      </c>
      <c r="E70" s="11">
        <f>VLOOKUP($A70,'Mat of App'!$B$7:$AP$43,E$66,FALSE)</f>
        <v>0</v>
      </c>
      <c r="F70" s="11">
        <f>VLOOKUP($A70,'Mat of App'!$B$7:$AP$43,F$66,FALSE)</f>
        <v>0</v>
      </c>
      <c r="G70" s="11">
        <f>VLOOKUP($A70,'Mat of App'!$B$7:$AP$43,G$66,FALSE)</f>
        <v>0</v>
      </c>
      <c r="H70" s="11">
        <f>VLOOKUP($A70,'Mat of App'!$B$7:$AP$43,H$66,FALSE)</f>
        <v>0</v>
      </c>
      <c r="I70" s="11">
        <f>VLOOKUP($A70,'Mat of App'!$B$7:$AP$43,I$66,FALSE)</f>
        <v>0</v>
      </c>
      <c r="J70" s="7" t="s">
        <v>224</v>
      </c>
      <c r="K70"/>
    </row>
    <row r="71" spans="1:11" ht="15">
      <c r="A71" s="8" t="s">
        <v>57</v>
      </c>
      <c r="B71" s="11">
        <f>VLOOKUP($A71,'Mat of App'!$B$7:$AP$43,B$66,FALSE)</f>
        <v>0</v>
      </c>
      <c r="C71" s="11">
        <f>VLOOKUP($A71,'Mat of App'!$B$7:$AP$43,C$66,FALSE)</f>
        <v>1</v>
      </c>
      <c r="D71" s="11">
        <f>VLOOKUP($A71,'Mat of App'!$B$7:$AP$43,D$66,FALSE)</f>
        <v>0</v>
      </c>
      <c r="E71" s="11">
        <f>VLOOKUP($A71,'Mat of App'!$B$7:$AP$43,E$66,FALSE)</f>
        <v>0</v>
      </c>
      <c r="F71" s="11">
        <f>VLOOKUP($A71,'Mat of App'!$B$7:$AP$43,F$66,FALSE)</f>
        <v>0</v>
      </c>
      <c r="G71" s="11">
        <f>VLOOKUP($A71,'Mat of App'!$B$7:$AP$43,G$66,FALSE)</f>
        <v>0</v>
      </c>
      <c r="H71" s="11">
        <f>VLOOKUP($A71,'Mat of App'!$B$7:$AP$43,H$66,FALSE)</f>
        <v>0</v>
      </c>
      <c r="I71" s="11">
        <f>VLOOKUP($A71,'Mat of App'!$B$7:$AP$43,I$66,FALSE)</f>
        <v>0</v>
      </c>
      <c r="J71" s="7" t="s">
        <v>224</v>
      </c>
      <c r="K71"/>
    </row>
    <row r="72" spans="1:11" ht="15">
      <c r="A72" s="8" t="s">
        <v>58</v>
      </c>
      <c r="B72" s="11">
        <f>VLOOKUP($A72,'Mat of App'!$B$7:$AP$43,B$66,FALSE)</f>
        <v>0</v>
      </c>
      <c r="C72" s="11">
        <f>VLOOKUP($A72,'Mat of App'!$B$7:$AP$43,C$66,FALSE)</f>
        <v>0</v>
      </c>
      <c r="D72" s="11">
        <f>VLOOKUP($A72,'Mat of App'!$B$7:$AP$43,D$66,FALSE)</f>
        <v>1</v>
      </c>
      <c r="E72" s="11">
        <f>VLOOKUP($A72,'Mat of App'!$B$7:$AP$43,E$66,FALSE)</f>
        <v>0</v>
      </c>
      <c r="F72" s="11">
        <f>VLOOKUP($A72,'Mat of App'!$B$7:$AP$43,F$66,FALSE)</f>
        <v>0</v>
      </c>
      <c r="G72" s="11">
        <f>VLOOKUP($A72,'Mat of App'!$B$7:$AP$43,G$66,FALSE)</f>
        <v>0</v>
      </c>
      <c r="H72" s="11">
        <f>VLOOKUP($A72,'Mat of App'!$B$7:$AP$43,H$66,FALSE)</f>
        <v>0</v>
      </c>
      <c r="I72" s="11">
        <f>VLOOKUP($A72,'Mat of App'!$B$7:$AP$43,I$66,FALSE)</f>
        <v>0</v>
      </c>
      <c r="J72" s="7"/>
      <c r="K72"/>
    </row>
    <row r="73" spans="1:11" ht="15">
      <c r="A73" s="8" t="s">
        <v>59</v>
      </c>
      <c r="B73" s="11">
        <f>VLOOKUP($A73,'Mat of App'!$B$7:$AP$43,B$66,FALSE)</f>
        <v>0</v>
      </c>
      <c r="C73" s="11">
        <f>VLOOKUP($A73,'Mat of App'!$B$7:$AP$43,C$66,FALSE)</f>
        <v>0</v>
      </c>
      <c r="D73" s="11">
        <f>VLOOKUP($A73,'Mat of App'!$B$7:$AP$43,D$66,FALSE)</f>
        <v>0</v>
      </c>
      <c r="E73" s="11">
        <f>VLOOKUP($A73,'Mat of App'!$B$7:$AP$43,E$66,FALSE)</f>
        <v>1</v>
      </c>
      <c r="F73" s="11">
        <f>VLOOKUP($A73,'Mat of App'!$B$7:$AP$43,F$66,FALSE)</f>
        <v>0</v>
      </c>
      <c r="G73" s="11">
        <f>VLOOKUP($A73,'Mat of App'!$B$7:$AP$43,G$66,FALSE)</f>
        <v>0</v>
      </c>
      <c r="H73" s="11">
        <f>VLOOKUP($A73,'Mat of App'!$B$7:$AP$43,H$66,FALSE)</f>
        <v>0</v>
      </c>
      <c r="I73" s="11">
        <f>VLOOKUP($A73,'Mat of App'!$B$7:$AP$43,I$66,FALSE)</f>
        <v>0</v>
      </c>
      <c r="J73" s="7"/>
      <c r="K73"/>
    </row>
    <row r="74" spans="1:11" ht="15">
      <c r="A74" s="8" t="s">
        <v>1178</v>
      </c>
      <c r="B74" s="11">
        <f>VLOOKUP($A74,'Mat of App'!$B$7:$AP$43,B$66,FALSE)</f>
        <v>0.05</v>
      </c>
      <c r="C74" s="11">
        <f>VLOOKUP($A74,'Mat of App'!$B$7:$AP$43,C$66,FALSE)</f>
        <v>0</v>
      </c>
      <c r="D74" s="11">
        <f>VLOOKUP($A74,'Mat of App'!$B$7:$AP$43,D$66,FALSE)</f>
        <v>0</v>
      </c>
      <c r="E74" s="11">
        <f>VLOOKUP($A74,'Mat of App'!$B$7:$AP$43,E$66,FALSE)</f>
        <v>0</v>
      </c>
      <c r="F74" s="11">
        <f>VLOOKUP($A74,'Mat of App'!$B$7:$AP$43,F$66,FALSE)</f>
        <v>0</v>
      </c>
      <c r="G74" s="11">
        <f>VLOOKUP($A74,'Mat of App'!$B$7:$AP$43,G$66,FALSE)</f>
        <v>0</v>
      </c>
      <c r="H74" s="11">
        <f>VLOOKUP($A74,'Mat of App'!$B$7:$AP$43,H$66,FALSE)</f>
        <v>0</v>
      </c>
      <c r="I74" s="11">
        <f>VLOOKUP($A74,'Mat of App'!$B$7:$AP$43,I$66,FALSE)</f>
        <v>0</v>
      </c>
      <c r="J74" s="7" t="s">
        <v>224</v>
      </c>
      <c r="K74"/>
    </row>
    <row r="75" spans="1:11" ht="15">
      <c r="A75" s="8" t="s">
        <v>1177</v>
      </c>
      <c r="B75" s="11">
        <f>VLOOKUP($A75,'Mat of App'!$B$7:$AP$43,B$66,FALSE)</f>
        <v>0</v>
      </c>
      <c r="C75" s="11">
        <f>VLOOKUP($A75,'Mat of App'!$B$7:$AP$43,C$66,FALSE)</f>
        <v>1</v>
      </c>
      <c r="D75" s="11">
        <f>VLOOKUP($A75,'Mat of App'!$B$7:$AP$43,D$66,FALSE)</f>
        <v>0</v>
      </c>
      <c r="E75" s="11">
        <f>VLOOKUP($A75,'Mat of App'!$B$7:$AP$43,E$66,FALSE)</f>
        <v>0</v>
      </c>
      <c r="F75" s="11">
        <f>VLOOKUP($A75,'Mat of App'!$B$7:$AP$43,F$66,FALSE)</f>
        <v>0</v>
      </c>
      <c r="G75" s="11">
        <f>VLOOKUP($A75,'Mat of App'!$B$7:$AP$43,G$66,FALSE)</f>
        <v>0</v>
      </c>
      <c r="H75" s="11">
        <f>VLOOKUP($A75,'Mat of App'!$B$7:$AP$43,H$66,FALSE)</f>
        <v>0</v>
      </c>
      <c r="I75" s="11">
        <f>VLOOKUP($A75,'Mat of App'!$B$7:$AP$43,I$66,FALSE)</f>
        <v>0</v>
      </c>
      <c r="J75" s="7" t="s">
        <v>224</v>
      </c>
      <c r="K75"/>
    </row>
    <row r="76" spans="1:11" ht="15">
      <c r="A76" s="8" t="s">
        <v>60</v>
      </c>
      <c r="B76" s="11">
        <f>VLOOKUP($A76,'Mat of App'!$B$7:$AP$43,B$66,FALSE)</f>
        <v>0</v>
      </c>
      <c r="C76" s="11">
        <f>VLOOKUP($A76,'Mat of App'!$B$7:$AP$43,C$66,FALSE)</f>
        <v>0</v>
      </c>
      <c r="D76" s="11">
        <f>VLOOKUP($A76,'Mat of App'!$B$7:$AP$43,D$66,FALSE)</f>
        <v>0</v>
      </c>
      <c r="E76" s="11">
        <f>VLOOKUP($A76,'Mat of App'!$B$7:$AP$43,E$66,FALSE)</f>
        <v>0</v>
      </c>
      <c r="F76" s="11">
        <f>VLOOKUP($A76,'Mat of App'!$B$7:$AP$43,F$66,FALSE)</f>
        <v>1</v>
      </c>
      <c r="G76" s="11">
        <f>VLOOKUP($A76,'Mat of App'!$B$7:$AP$43,G$66,FALSE)</f>
        <v>0</v>
      </c>
      <c r="H76" s="11">
        <f>VLOOKUP($A76,'Mat of App'!$B$7:$AP$43,H$66,FALSE)</f>
        <v>0</v>
      </c>
      <c r="I76" s="11">
        <f>VLOOKUP($A76,'Mat of App'!$B$7:$AP$43,I$66,FALSE)</f>
        <v>0</v>
      </c>
      <c r="J76" s="7" t="s">
        <v>224</v>
      </c>
      <c r="K76"/>
    </row>
    <row r="77" spans="1:11" ht="15">
      <c r="A77" s="8" t="s">
        <v>61</v>
      </c>
      <c r="B77" s="11">
        <f>VLOOKUP($A77,'Mat of App'!$B$7:$AP$43,B$66,FALSE)</f>
        <v>0</v>
      </c>
      <c r="C77" s="11">
        <f>VLOOKUP($A77,'Mat of App'!$B$7:$AP$43,C$66,FALSE)</f>
        <v>0</v>
      </c>
      <c r="D77" s="11">
        <f>VLOOKUP($A77,'Mat of App'!$B$7:$AP$43,D$66,FALSE)</f>
        <v>0</v>
      </c>
      <c r="E77" s="11">
        <f>VLOOKUP($A77,'Mat of App'!$B$7:$AP$43,E$66,FALSE)</f>
        <v>0</v>
      </c>
      <c r="F77" s="11">
        <f>VLOOKUP($A77,'Mat of App'!$B$7:$AP$43,F$66,FALSE)</f>
        <v>0</v>
      </c>
      <c r="G77" s="11">
        <f>VLOOKUP($A77,'Mat of App'!$B$7:$AP$43,G$66,FALSE)</f>
        <v>1</v>
      </c>
      <c r="H77" s="11">
        <f>VLOOKUP($A77,'Mat of App'!$B$7:$AP$43,H$66,FALSE)</f>
        <v>0</v>
      </c>
      <c r="I77" s="11">
        <f>VLOOKUP($A77,'Mat of App'!$B$7:$AP$43,I$66,FALSE)</f>
        <v>0</v>
      </c>
      <c r="J77" s="7" t="s">
        <v>224</v>
      </c>
      <c r="K77"/>
    </row>
    <row r="78" spans="1:11" ht="15">
      <c r="A78" s="285" t="s">
        <v>1176</v>
      </c>
      <c r="B78" s="11">
        <f>VLOOKUP($A78,'Mat of App'!$B$7:$AP$43,B$66,FALSE)</f>
        <v>0</v>
      </c>
      <c r="C78" s="11">
        <f>VLOOKUP($A78,'Mat of App'!$B$7:$AP$43,C$66,FALSE)</f>
        <v>0</v>
      </c>
      <c r="D78" s="11">
        <f>VLOOKUP($A78,'Mat of App'!$B$7:$AP$43,D$66,FALSE)</f>
        <v>0</v>
      </c>
      <c r="E78" s="11">
        <f>VLOOKUP($A78,'Mat of App'!$B$7:$AP$43,E$66,FALSE)</f>
        <v>0</v>
      </c>
      <c r="F78" s="11">
        <f>VLOOKUP($A78,'Mat of App'!$B$7:$AP$43,F$66,FALSE)</f>
        <v>0</v>
      </c>
      <c r="G78" s="11">
        <f>VLOOKUP($A78,'Mat of App'!$B$7:$AP$43,G$66,FALSE)</f>
        <v>0</v>
      </c>
      <c r="H78" s="11">
        <f>VLOOKUP($A78,'Mat of App'!$B$7:$AP$43,H$66,FALSE)</f>
        <v>1</v>
      </c>
      <c r="I78" s="11">
        <f>VLOOKUP($A78,'Mat of App'!$B$7:$AP$43,I$66,FALSE)</f>
        <v>0</v>
      </c>
      <c r="J78" s="7" t="s">
        <v>224</v>
      </c>
      <c r="K78"/>
    </row>
    <row r="79" spans="1:11" ht="15">
      <c r="A79" s="285" t="s">
        <v>62</v>
      </c>
      <c r="B79" s="11">
        <f>VLOOKUP($A79,'Mat of App'!$B$7:$AP$43,B$66,FALSE)</f>
        <v>0</v>
      </c>
      <c r="C79" s="11">
        <f>VLOOKUP($A79,'Mat of App'!$B$7:$AP$43,C$66,FALSE)</f>
        <v>0</v>
      </c>
      <c r="D79" s="11">
        <f>VLOOKUP($A79,'Mat of App'!$B$7:$AP$43,D$66,FALSE)</f>
        <v>0</v>
      </c>
      <c r="E79" s="11">
        <f>VLOOKUP($A79,'Mat of App'!$B$7:$AP$43,E$66,FALSE)</f>
        <v>0</v>
      </c>
      <c r="F79" s="11">
        <f>VLOOKUP($A79,'Mat of App'!$B$7:$AP$43,F$66,FALSE)</f>
        <v>0</v>
      </c>
      <c r="G79" s="11">
        <f>VLOOKUP($A79,'Mat of App'!$B$7:$AP$43,G$66,FALSE)</f>
        <v>0</v>
      </c>
      <c r="H79" s="11">
        <f>VLOOKUP($A79,'Mat of App'!$B$7:$AP$43,H$66,FALSE)</f>
        <v>1</v>
      </c>
      <c r="I79" s="11">
        <f>VLOOKUP($A79,'Mat of App'!$B$7:$AP$43,I$66,FALSE)</f>
        <v>0</v>
      </c>
      <c r="J79" s="7" t="s">
        <v>224</v>
      </c>
      <c r="K79"/>
    </row>
    <row r="80" spans="1:11" ht="15">
      <c r="A80" s="285" t="s">
        <v>63</v>
      </c>
      <c r="B80" s="11">
        <f>VLOOKUP($A80,'Mat of App'!$B$7:$AP$43,B$66,FALSE)</f>
        <v>0</v>
      </c>
      <c r="C80" s="11">
        <f>VLOOKUP($A80,'Mat of App'!$B$7:$AP$43,C$66,FALSE)</f>
        <v>0</v>
      </c>
      <c r="D80" s="11">
        <f>VLOOKUP($A80,'Mat of App'!$B$7:$AP$43,D$66,FALSE)</f>
        <v>0</v>
      </c>
      <c r="E80" s="11">
        <f>VLOOKUP($A80,'Mat of App'!$B$7:$AP$43,E$66,FALSE)</f>
        <v>0</v>
      </c>
      <c r="F80" s="11">
        <f>VLOOKUP($A80,'Mat of App'!$B$7:$AP$43,F$66,FALSE)</f>
        <v>0</v>
      </c>
      <c r="G80" s="11">
        <f>VLOOKUP($A80,'Mat of App'!$B$7:$AP$43,G$66,FALSE)</f>
        <v>0</v>
      </c>
      <c r="H80" s="11">
        <f>VLOOKUP($A80,'Mat of App'!$B$7:$AP$43,H$66,FALSE)</f>
        <v>1</v>
      </c>
      <c r="I80" s="11">
        <f>VLOOKUP($A80,'Mat of App'!$B$7:$AP$43,I$66,FALSE)</f>
        <v>0</v>
      </c>
      <c r="J80" s="7" t="s">
        <v>224</v>
      </c>
      <c r="K80"/>
    </row>
    <row r="81" spans="1:11" ht="15">
      <c r="A81" s="285" t="s">
        <v>1516</v>
      </c>
      <c r="B81" s="11">
        <f>VLOOKUP($A81,'Mat of App'!$B$7:$AP$43,B$66,FALSE)</f>
        <v>0</v>
      </c>
      <c r="C81" s="11">
        <f>VLOOKUP($A81,'Mat of App'!$B$7:$AP$43,C$66,FALSE)</f>
        <v>0</v>
      </c>
      <c r="D81" s="11">
        <f>VLOOKUP($A81,'Mat of App'!$B$7:$AP$43,D$66,FALSE)</f>
        <v>0</v>
      </c>
      <c r="E81" s="11">
        <f>VLOOKUP($A81,'Mat of App'!$B$7:$AP$43,E$66,FALSE)</f>
        <v>0</v>
      </c>
      <c r="F81" s="11">
        <f>VLOOKUP($A81,'Mat of App'!$B$7:$AP$43,F$66,FALSE)</f>
        <v>0</v>
      </c>
      <c r="G81" s="11">
        <f>VLOOKUP($A81,'Mat of App'!$B$7:$AP$43,G$66,FALSE)</f>
        <v>0</v>
      </c>
      <c r="H81" s="11">
        <f>VLOOKUP($A81,'Mat of App'!$B$7:$AP$43,H$66,FALSE)</f>
        <v>1</v>
      </c>
      <c r="I81" s="11">
        <f>VLOOKUP($A81,'Mat of App'!$B$7:$AP$43,I$66,FALSE)</f>
        <v>0</v>
      </c>
      <c r="J81" s="7" t="s">
        <v>224</v>
      </c>
      <c r="K81"/>
    </row>
    <row r="82" spans="1:11" ht="15">
      <c r="A82" s="285" t="s">
        <v>64</v>
      </c>
      <c r="B82" s="11">
        <f>VLOOKUP($A82,'Mat of App'!$B$7:$AP$43,B$66,FALSE)</f>
        <v>0</v>
      </c>
      <c r="C82" s="11">
        <f>VLOOKUP($A82,'Mat of App'!$B$7:$AP$43,C$66,FALSE)</f>
        <v>0</v>
      </c>
      <c r="D82" s="11">
        <f>VLOOKUP($A82,'Mat of App'!$B$7:$AP$43,D$66,FALSE)</f>
        <v>0</v>
      </c>
      <c r="E82" s="11">
        <f>VLOOKUP($A82,'Mat of App'!$B$7:$AP$43,E$66,FALSE)</f>
        <v>0</v>
      </c>
      <c r="F82" s="11">
        <f>VLOOKUP($A82,'Mat of App'!$B$7:$AP$43,F$66,FALSE)</f>
        <v>0</v>
      </c>
      <c r="G82" s="11">
        <f>VLOOKUP($A82,'Mat of App'!$B$7:$AP$43,G$66,FALSE)</f>
        <v>0</v>
      </c>
      <c r="H82" s="11">
        <f>VLOOKUP($A82,'Mat of App'!$B$7:$AP$43,H$66,FALSE)</f>
        <v>0</v>
      </c>
      <c r="I82" s="11">
        <f>VLOOKUP($A82,'Mat of App'!$B$7:$AP$43,I$66,FALSE)</f>
        <v>0</v>
      </c>
      <c r="J82" s="7" t="s">
        <v>224</v>
      </c>
      <c r="K82"/>
    </row>
    <row r="83" spans="1:11" ht="15">
      <c r="A83" s="285" t="s">
        <v>1517</v>
      </c>
      <c r="B83" s="11">
        <f>VLOOKUP($A83,'Mat of App'!$B$7:$AP$43,B$66,FALSE)</f>
        <v>0</v>
      </c>
      <c r="C83" s="11">
        <f>VLOOKUP($A83,'Mat of App'!$B$7:$AP$43,C$66,FALSE)</f>
        <v>0</v>
      </c>
      <c r="D83" s="11">
        <f>VLOOKUP($A83,'Mat of App'!$B$7:$AP$43,D$66,FALSE)</f>
        <v>0</v>
      </c>
      <c r="E83" s="11">
        <f>VLOOKUP($A83,'Mat of App'!$B$7:$AP$43,E$66,FALSE)</f>
        <v>0</v>
      </c>
      <c r="F83" s="11">
        <f>VLOOKUP($A83,'Mat of App'!$B$7:$AP$43,F$66,FALSE)</f>
        <v>0</v>
      </c>
      <c r="G83" s="11">
        <f>VLOOKUP($A83,'Mat of App'!$B$7:$AP$43,G$66,FALSE)</f>
        <v>0</v>
      </c>
      <c r="H83" s="11">
        <f>VLOOKUP($A83,'Mat of App'!$B$7:$AP$43,H$66,FALSE)</f>
        <v>0</v>
      </c>
      <c r="I83" s="11">
        <f>VLOOKUP($A83,'Mat of App'!$B$7:$AP$43,I$66,FALSE)</f>
        <v>0</v>
      </c>
      <c r="J83" s="7"/>
      <c r="K83"/>
    </row>
    <row r="84" spans="1:11" ht="15">
      <c r="A84" s="285" t="s">
        <v>65</v>
      </c>
      <c r="B84" s="11">
        <f>VLOOKUP($A84,'Mat of App'!$B$7:$AP$43,B$66,FALSE)</f>
        <v>0</v>
      </c>
      <c r="C84" s="11">
        <f>VLOOKUP($A84,'Mat of App'!$B$7:$AP$43,C$66,FALSE)</f>
        <v>0</v>
      </c>
      <c r="D84" s="11">
        <f>VLOOKUP($A84,'Mat of App'!$B$7:$AP$43,D$66,FALSE)</f>
        <v>0</v>
      </c>
      <c r="E84" s="11">
        <f>VLOOKUP($A84,'Mat of App'!$B$7:$AP$43,E$66,FALSE)</f>
        <v>0</v>
      </c>
      <c r="F84" s="11">
        <f>VLOOKUP($A84,'Mat of App'!$B$7:$AP$43,F$66,FALSE)</f>
        <v>0</v>
      </c>
      <c r="G84" s="11">
        <f>VLOOKUP($A84,'Mat of App'!$B$7:$AP$43,G$66,FALSE)</f>
        <v>0</v>
      </c>
      <c r="H84" s="11">
        <f>VLOOKUP($A84,'Mat of App'!$B$7:$AP$43,H$66,FALSE)</f>
        <v>0</v>
      </c>
      <c r="I84" s="11">
        <f>VLOOKUP($A84,'Mat of App'!$B$7:$AP$43,I$66,FALSE)</f>
        <v>0</v>
      </c>
      <c r="J84" s="7"/>
      <c r="K84"/>
    </row>
    <row r="85" spans="1:11" ht="15">
      <c r="A85" s="285" t="s">
        <v>1518</v>
      </c>
      <c r="B85" s="11">
        <f>VLOOKUP($A85,'Mat of App'!$B$7:$AP$43,B$66,FALSE)</f>
        <v>0</v>
      </c>
      <c r="C85" s="11">
        <f>VLOOKUP($A85,'Mat of App'!$B$7:$AP$43,C$66,FALSE)</f>
        <v>0</v>
      </c>
      <c r="D85" s="11">
        <f>VLOOKUP($A85,'Mat of App'!$B$7:$AP$43,D$66,FALSE)</f>
        <v>0</v>
      </c>
      <c r="E85" s="11">
        <f>VLOOKUP($A85,'Mat of App'!$B$7:$AP$43,E$66,FALSE)</f>
        <v>0</v>
      </c>
      <c r="F85" s="11">
        <f>VLOOKUP($A85,'Mat of App'!$B$7:$AP$43,F$66,FALSE)</f>
        <v>0</v>
      </c>
      <c r="G85" s="11">
        <f>VLOOKUP($A85,'Mat of App'!$B$7:$AP$43,G$66,FALSE)</f>
        <v>0</v>
      </c>
      <c r="H85" s="11">
        <f>VLOOKUP($A85,'Mat of App'!$B$7:$AP$43,H$66,FALSE)</f>
        <v>0</v>
      </c>
      <c r="I85" s="11">
        <f>VLOOKUP($A85,'Mat of App'!$B$7:$AP$43,I$66,FALSE)</f>
        <v>0</v>
      </c>
      <c r="J85" s="7"/>
      <c r="K85"/>
    </row>
    <row r="86" spans="1:11" ht="15">
      <c r="A86" s="285" t="s">
        <v>66</v>
      </c>
      <c r="B86" s="11">
        <f>VLOOKUP($A86,'Mat of App'!$B$7:$AP$43,B$66,FALSE)</f>
        <v>0</v>
      </c>
      <c r="C86" s="11">
        <f>VLOOKUP($A86,'Mat of App'!$B$7:$AP$43,C$66,FALSE)</f>
        <v>0</v>
      </c>
      <c r="D86" s="11">
        <f>VLOOKUP($A86,'Mat of App'!$B$7:$AP$43,D$66,FALSE)</f>
        <v>0</v>
      </c>
      <c r="E86" s="11">
        <f>VLOOKUP($A86,'Mat of App'!$B$7:$AP$43,E$66,FALSE)</f>
        <v>0</v>
      </c>
      <c r="F86" s="11">
        <f>VLOOKUP($A86,'Mat of App'!$B$7:$AP$43,F$66,FALSE)</f>
        <v>0</v>
      </c>
      <c r="G86" s="11">
        <f>VLOOKUP($A86,'Mat of App'!$B$7:$AP$43,G$66,FALSE)</f>
        <v>0</v>
      </c>
      <c r="H86" s="11">
        <f>VLOOKUP($A86,'Mat of App'!$B$7:$AP$43,H$66,FALSE)</f>
        <v>0</v>
      </c>
      <c r="I86" s="11">
        <f>VLOOKUP($A86,'Mat of App'!$B$7:$AP$43,I$66,FALSE)</f>
        <v>0</v>
      </c>
      <c r="J86" s="7"/>
      <c r="K86"/>
    </row>
    <row r="87" spans="1:11" ht="15">
      <c r="A87" s="285" t="s">
        <v>1519</v>
      </c>
      <c r="B87" s="11">
        <f>VLOOKUP($A87,'Mat of App'!$B$7:$AP$43,B$66,FALSE)</f>
        <v>0</v>
      </c>
      <c r="C87" s="11">
        <f>VLOOKUP($A87,'Mat of App'!$B$7:$AP$43,C$66,FALSE)</f>
        <v>0</v>
      </c>
      <c r="D87" s="11">
        <f>VLOOKUP($A87,'Mat of App'!$B$7:$AP$43,D$66,FALSE)</f>
        <v>0</v>
      </c>
      <c r="E87" s="11">
        <f>VLOOKUP($A87,'Mat of App'!$B$7:$AP$43,E$66,FALSE)</f>
        <v>0</v>
      </c>
      <c r="F87" s="11">
        <f>VLOOKUP($A87,'Mat of App'!$B$7:$AP$43,F$66,FALSE)</f>
        <v>0</v>
      </c>
      <c r="G87" s="11">
        <f>VLOOKUP($A87,'Mat of App'!$B$7:$AP$43,G$66,FALSE)</f>
        <v>0</v>
      </c>
      <c r="H87" s="11">
        <f>VLOOKUP($A87,'Mat of App'!$B$7:$AP$43,H$66,FALSE)</f>
        <v>0</v>
      </c>
      <c r="I87" s="11">
        <f>VLOOKUP($A87,'Mat of App'!$B$7:$AP$43,I$66,FALSE)</f>
        <v>0</v>
      </c>
      <c r="J87" s="7" t="s">
        <v>224</v>
      </c>
      <c r="K87"/>
    </row>
    <row r="88" spans="1:11" ht="15">
      <c r="A88"/>
      <c r="B88"/>
      <c r="C88"/>
      <c r="D88"/>
      <c r="E88"/>
      <c r="F88"/>
      <c r="G88"/>
      <c r="H88"/>
      <c r="I88"/>
      <c r="J88"/>
      <c r="K88"/>
    </row>
    <row r="89" spans="1:11" ht="19.5">
      <c r="A89" s="1" t="s">
        <v>67</v>
      </c>
      <c r="B89"/>
      <c r="C89"/>
      <c r="D89"/>
      <c r="E89"/>
      <c r="F89"/>
      <c r="G89"/>
      <c r="H89"/>
      <c r="I89"/>
      <c r="J89"/>
      <c r="K89"/>
    </row>
    <row r="90" spans="1:11" ht="15">
      <c r="A90" s="2"/>
      <c r="B90"/>
      <c r="C90"/>
      <c r="D90"/>
      <c r="E90"/>
      <c r="F90"/>
      <c r="G90"/>
      <c r="H90"/>
      <c r="I90"/>
      <c r="J90"/>
      <c r="K90"/>
    </row>
    <row r="91" spans="1:11" ht="15">
      <c r="A91" s="2" t="s">
        <v>68</v>
      </c>
      <c r="B91"/>
      <c r="C91"/>
      <c r="D91"/>
      <c r="E91"/>
      <c r="F91"/>
      <c r="G91"/>
      <c r="H91"/>
      <c r="I91"/>
      <c r="J91"/>
      <c r="K91"/>
    </row>
    <row r="92" spans="1:11" ht="15">
      <c r="A92" t="s">
        <v>69</v>
      </c>
      <c r="B92"/>
      <c r="C92"/>
      <c r="D92"/>
      <c r="E92"/>
      <c r="F92"/>
      <c r="G92"/>
      <c r="H92"/>
      <c r="I92"/>
      <c r="J92"/>
      <c r="K92"/>
    </row>
    <row r="93" spans="1:11" ht="15">
      <c r="A93"/>
      <c r="B93" s="3" t="s">
        <v>37</v>
      </c>
      <c r="C93" s="3" t="s">
        <v>38</v>
      </c>
      <c r="D93" s="3" t="s">
        <v>39</v>
      </c>
      <c r="E93" s="3" t="s">
        <v>40</v>
      </c>
      <c r="F93" s="3" t="s">
        <v>41</v>
      </c>
      <c r="G93" s="3" t="s">
        <v>42</v>
      </c>
      <c r="H93" s="3" t="s">
        <v>43</v>
      </c>
      <c r="I93" s="3" t="s">
        <v>44</v>
      </c>
      <c r="J93"/>
      <c r="K93"/>
    </row>
    <row r="94" spans="1:11" ht="15">
      <c r="A94" s="8" t="s">
        <v>70</v>
      </c>
      <c r="B94" s="4">
        <f>VLOOKUP($A94,'Mat of App'!$B$7:$AP$43,B$66,FALSE)</f>
        <v>0</v>
      </c>
      <c r="C94" s="4">
        <f>VLOOKUP($A94,'Mat of App'!$B$7:$AP$43,C$66,FALSE)</f>
        <v>0</v>
      </c>
      <c r="D94" s="4">
        <f>VLOOKUP($A94,'Mat of App'!$B$7:$AP$43,D$66,FALSE)</f>
        <v>0</v>
      </c>
      <c r="E94" s="4">
        <f>VLOOKUP($A94,'Mat of App'!$B$7:$AP$43,E$66,FALSE)</f>
        <v>0</v>
      </c>
      <c r="F94" s="4">
        <f>VLOOKUP($A94,'Mat of App'!$B$7:$AP$43,F$66,FALSE)</f>
        <v>0</v>
      </c>
      <c r="G94" s="4">
        <f>VLOOKUP($A94,'Mat of App'!$B$7:$AP$43,G$66,FALSE)</f>
        <v>0</v>
      </c>
      <c r="H94" s="4">
        <f>VLOOKUP($A94,'Mat of App'!$B$7:$AP$43,H$66,FALSE)</f>
        <v>0</v>
      </c>
      <c r="I94" s="4">
        <f>VLOOKUP($A94,'Mat of App'!$B$7:$AP$43,I$66,FALSE)</f>
        <v>0.48799999999999999</v>
      </c>
      <c r="J94" s="7" t="s">
        <v>224</v>
      </c>
      <c r="K94"/>
    </row>
    <row r="95" spans="1:11" ht="15">
      <c r="A95"/>
      <c r="B95"/>
      <c r="C95"/>
      <c r="D95"/>
      <c r="E95"/>
      <c r="F95"/>
      <c r="G95"/>
      <c r="H95"/>
      <c r="I95"/>
      <c r="J95"/>
      <c r="K95"/>
    </row>
    <row r="96" spans="1:11" ht="19.5">
      <c r="A96" s="1" t="s">
        <v>71</v>
      </c>
      <c r="B96"/>
      <c r="C96"/>
      <c r="D96"/>
      <c r="E96"/>
      <c r="F96"/>
      <c r="G96"/>
      <c r="H96"/>
      <c r="I96"/>
      <c r="J96"/>
      <c r="K96"/>
    </row>
    <row r="97" spans="1:11" ht="15">
      <c r="A97"/>
      <c r="B97">
        <v>7</v>
      </c>
      <c r="C97">
        <f>B97+1</f>
        <v>8</v>
      </c>
      <c r="D97">
        <f>C97+1</f>
        <v>9</v>
      </c>
      <c r="E97">
        <f>D97+1</f>
        <v>10</v>
      </c>
      <c r="F97">
        <f>E97+1</f>
        <v>11</v>
      </c>
      <c r="G97"/>
      <c r="H97"/>
      <c r="I97"/>
      <c r="J97"/>
      <c r="K97"/>
    </row>
    <row r="98" spans="1:11" ht="15">
      <c r="A98"/>
      <c r="B98" s="3" t="s">
        <v>47</v>
      </c>
      <c r="C98" s="3" t="s">
        <v>48</v>
      </c>
      <c r="D98" s="3" t="s">
        <v>49</v>
      </c>
      <c r="E98" s="3" t="s">
        <v>50</v>
      </c>
      <c r="F98" s="3" t="s">
        <v>51</v>
      </c>
      <c r="G98"/>
      <c r="H98"/>
      <c r="I98"/>
      <c r="J98"/>
      <c r="K98"/>
    </row>
    <row r="99" spans="1:11" ht="15">
      <c r="A99" s="285" t="s">
        <v>72</v>
      </c>
      <c r="B99" s="11">
        <f>VLOOKUP($A99,'Mat of App'!$B$7:$AP$43,B$97,FALSE)</f>
        <v>1</v>
      </c>
      <c r="C99" s="11">
        <f>VLOOKUP($A99,'Mat of App'!$B$7:$AP$43,C$97,FALSE)</f>
        <v>0</v>
      </c>
      <c r="D99" s="11">
        <f>VLOOKUP($A99,'Mat of App'!$B$7:$AP$43,D$97,FALSE)</f>
        <v>0</v>
      </c>
      <c r="E99" s="11">
        <f>VLOOKUP($A99,'Mat of App'!$B$7:$AP$43,E$97,FALSE)</f>
        <v>0</v>
      </c>
      <c r="F99" s="11">
        <f>VLOOKUP($A99,'Mat of App'!$B$7:$AP$43,F$97,FALSE)</f>
        <v>0</v>
      </c>
      <c r="G99" s="7" t="s">
        <v>224</v>
      </c>
      <c r="H99"/>
      <c r="I99"/>
      <c r="J99"/>
      <c r="K99"/>
    </row>
    <row r="100" spans="1:11" ht="15">
      <c r="A100" s="285" t="s">
        <v>73</v>
      </c>
      <c r="B100" s="11">
        <f>VLOOKUP($A100,'Mat of App'!$B$7:$AP$43,B$97,FALSE)</f>
        <v>1</v>
      </c>
      <c r="C100" s="11">
        <f>VLOOKUP($A100,'Mat of App'!$B$7:$AP$43,C$97,FALSE)</f>
        <v>0</v>
      </c>
      <c r="D100" s="11">
        <f>VLOOKUP($A100,'Mat of App'!$B$7:$AP$43,D$97,FALSE)</f>
        <v>0</v>
      </c>
      <c r="E100" s="11">
        <f>VLOOKUP($A100,'Mat of App'!$B$7:$AP$43,E$97,FALSE)</f>
        <v>0</v>
      </c>
      <c r="F100" s="11">
        <f>VLOOKUP($A100,'Mat of App'!$B$7:$AP$43,F$97,FALSE)</f>
        <v>0</v>
      </c>
      <c r="G100" s="7" t="s">
        <v>224</v>
      </c>
      <c r="H100"/>
      <c r="I100"/>
      <c r="J100"/>
      <c r="K100"/>
    </row>
    <row r="101" spans="1:11" customFormat="1" ht="15">
      <c r="A101" s="285" t="s">
        <v>74</v>
      </c>
      <c r="B101" s="11">
        <f>VLOOKUP($A101,'Mat of App'!$B$7:$AP$43,B$97,FALSE)</f>
        <v>0</v>
      </c>
      <c r="C101" s="11">
        <f>VLOOKUP($A101,'Mat of App'!$B$7:$AP$43,C$97,FALSE)</f>
        <v>1</v>
      </c>
      <c r="D101" s="11">
        <f>VLOOKUP($A101,'Mat of App'!$B$7:$AP$43,D$97,FALSE)</f>
        <v>0</v>
      </c>
      <c r="E101" s="11">
        <f>VLOOKUP($A101,'Mat of App'!$B$7:$AP$43,E$97,FALSE)</f>
        <v>0</v>
      </c>
      <c r="F101" s="11">
        <f>VLOOKUP($A101,'Mat of App'!$B$7:$AP$43,F$97,FALSE)</f>
        <v>0</v>
      </c>
      <c r="G101" s="7"/>
    </row>
    <row r="102" spans="1:11" customFormat="1" ht="15">
      <c r="A102" s="285" t="s">
        <v>1520</v>
      </c>
      <c r="B102" s="11">
        <f>VLOOKUP($A102,'Mat of App'!$B$7:$AP$43,B$97,FALSE)</f>
        <v>0</v>
      </c>
      <c r="C102" s="11">
        <f>VLOOKUP($A102,'Mat of App'!$B$7:$AP$43,C$97,FALSE)</f>
        <v>1</v>
      </c>
      <c r="D102" s="11">
        <f>VLOOKUP($A102,'Mat of App'!$B$7:$AP$43,D$97,FALSE)</f>
        <v>0</v>
      </c>
      <c r="E102" s="11">
        <f>VLOOKUP($A102,'Mat of App'!$B$7:$AP$43,E$97,FALSE)</f>
        <v>0</v>
      </c>
      <c r="F102" s="11">
        <f>VLOOKUP($A102,'Mat of App'!$B$7:$AP$43,F$97,FALSE)</f>
        <v>0</v>
      </c>
      <c r="G102" s="7"/>
    </row>
    <row r="103" spans="1:11" customFormat="1" ht="15">
      <c r="A103" s="285" t="s">
        <v>75</v>
      </c>
      <c r="B103" s="11">
        <f>VLOOKUP($A103,'Mat of App'!$B$7:$AP$43,B$97,FALSE)</f>
        <v>0</v>
      </c>
      <c r="C103" s="11">
        <f>VLOOKUP($A103,'Mat of App'!$B$7:$AP$43,C$97,FALSE)</f>
        <v>1</v>
      </c>
      <c r="D103" s="11">
        <f>VLOOKUP($A103,'Mat of App'!$B$7:$AP$43,D$97,FALSE)</f>
        <v>0</v>
      </c>
      <c r="E103" s="11">
        <f>VLOOKUP($A103,'Mat of App'!$B$7:$AP$43,E$97,FALSE)</f>
        <v>0</v>
      </c>
      <c r="F103" s="11">
        <f>VLOOKUP($A103,'Mat of App'!$B$7:$AP$43,F$97,FALSE)</f>
        <v>0</v>
      </c>
      <c r="G103" s="7"/>
    </row>
    <row r="104" spans="1:11" customFormat="1" ht="15">
      <c r="A104" s="285" t="s">
        <v>1521</v>
      </c>
      <c r="B104" s="11">
        <f>VLOOKUP($A104,'Mat of App'!$B$7:$AP$43,B$97,FALSE)</f>
        <v>0</v>
      </c>
      <c r="C104" s="11">
        <f>VLOOKUP($A104,'Mat of App'!$B$7:$AP$43,C$97,FALSE)</f>
        <v>1</v>
      </c>
      <c r="D104" s="11">
        <f>VLOOKUP($A104,'Mat of App'!$B$7:$AP$43,D$97,FALSE)</f>
        <v>0</v>
      </c>
      <c r="E104" s="11">
        <f>VLOOKUP($A104,'Mat of App'!$B$7:$AP$43,E$97,FALSE)</f>
        <v>0</v>
      </c>
      <c r="F104" s="11">
        <f>VLOOKUP($A104,'Mat of App'!$B$7:$AP$43,F$97,FALSE)</f>
        <v>0</v>
      </c>
      <c r="G104" s="7"/>
    </row>
    <row r="105" spans="1:11" ht="15">
      <c r="A105"/>
      <c r="B105"/>
      <c r="C105"/>
      <c r="D105"/>
      <c r="E105"/>
      <c r="F105"/>
      <c r="G105"/>
      <c r="H105"/>
      <c r="I105"/>
      <c r="J105"/>
      <c r="K105"/>
    </row>
    <row r="106" spans="1:11" ht="19.5">
      <c r="A106" s="1" t="s">
        <v>76</v>
      </c>
      <c r="B106"/>
      <c r="C106"/>
      <c r="D106"/>
      <c r="E106"/>
      <c r="F106"/>
      <c r="G106"/>
      <c r="H106"/>
      <c r="I106"/>
      <c r="J106"/>
      <c r="K106"/>
    </row>
    <row r="107" spans="1:11" ht="15">
      <c r="A107" s="2" t="s">
        <v>224</v>
      </c>
      <c r="B107"/>
      <c r="C107"/>
      <c r="D107"/>
      <c r="E107"/>
      <c r="F107"/>
      <c r="G107"/>
      <c r="H107"/>
      <c r="I107"/>
      <c r="J107"/>
      <c r="K107"/>
    </row>
    <row r="108" spans="1:11" ht="15">
      <c r="A108" t="s">
        <v>77</v>
      </c>
      <c r="B108"/>
      <c r="C108"/>
      <c r="D108"/>
      <c r="E108"/>
      <c r="F108"/>
      <c r="G108"/>
      <c r="H108"/>
      <c r="I108"/>
      <c r="J108"/>
      <c r="K108"/>
    </row>
    <row r="109" spans="1:11" ht="15">
      <c r="A109"/>
      <c r="B109" s="3" t="s">
        <v>23</v>
      </c>
      <c r="C109" s="3" t="s">
        <v>24</v>
      </c>
      <c r="D109" s="3" t="s">
        <v>25</v>
      </c>
      <c r="E109" s="3" t="s">
        <v>26</v>
      </c>
      <c r="F109" s="3" t="s">
        <v>27</v>
      </c>
      <c r="G109" s="3" t="s">
        <v>28</v>
      </c>
      <c r="H109" s="3" t="s">
        <v>29</v>
      </c>
      <c r="I109"/>
      <c r="J109"/>
      <c r="K109"/>
    </row>
    <row r="110" spans="1:11" ht="15">
      <c r="A110" s="8" t="s">
        <v>78</v>
      </c>
      <c r="B110" s="4">
        <f>VLOOKUP(Vlookup!B69,'CDCM Forecast Data'!$A$14:$I$271,6,FALSE)</f>
        <v>1.002</v>
      </c>
      <c r="C110" s="4">
        <f>VLOOKUP(Vlookup!C69,'CDCM Forecast Data'!$A$14:$I$271,6,FALSE)</f>
        <v>1.006</v>
      </c>
      <c r="D110" s="4">
        <f>VLOOKUP(Vlookup!D69,'CDCM Forecast Data'!$A$14:$I$271,6,FALSE)</f>
        <v>1.012</v>
      </c>
      <c r="E110" s="4">
        <f>VLOOKUP(Vlookup!E69,'CDCM Forecast Data'!$A$14:$I$271,6,FALSE)</f>
        <v>1.0209999999999999</v>
      </c>
      <c r="F110" s="4">
        <f>VLOOKUP(Vlookup!F69,'CDCM Forecast Data'!$A$14:$I$271,6,FALSE)</f>
        <v>1.038</v>
      </c>
      <c r="G110" s="4">
        <f>VLOOKUP(Vlookup!G69,'CDCM Forecast Data'!$A$14:$I$271,6,FALSE)</f>
        <v>1.0489999999999999</v>
      </c>
      <c r="H110" s="4">
        <f>VLOOKUP(Vlookup!H69,'CDCM Forecast Data'!$A$14:$I$271,6,FALSE)</f>
        <v>1.0620000000000001</v>
      </c>
      <c r="I110" s="7" t="s">
        <v>224</v>
      </c>
      <c r="J110"/>
      <c r="K110"/>
    </row>
    <row r="111" spans="1:11" ht="15">
      <c r="A111"/>
      <c r="B111"/>
      <c r="C111"/>
      <c r="D111"/>
      <c r="E111"/>
      <c r="F111"/>
      <c r="G111"/>
      <c r="H111"/>
      <c r="I111"/>
      <c r="J111"/>
      <c r="K111"/>
    </row>
    <row r="112" spans="1:11" ht="19.5">
      <c r="A112" s="1" t="s">
        <v>79</v>
      </c>
      <c r="B112"/>
      <c r="C112"/>
      <c r="D112"/>
      <c r="E112"/>
      <c r="F112"/>
      <c r="G112"/>
      <c r="H112"/>
      <c r="I112"/>
      <c r="J112"/>
      <c r="K112"/>
    </row>
    <row r="113" spans="1:11" ht="15">
      <c r="A113" s="2" t="s">
        <v>224</v>
      </c>
      <c r="B113"/>
      <c r="C113"/>
      <c r="D113"/>
      <c r="E113"/>
      <c r="F113"/>
      <c r="G113"/>
      <c r="H113"/>
      <c r="I113"/>
      <c r="J113"/>
      <c r="K113"/>
    </row>
    <row r="114" spans="1:11" ht="15">
      <c r="A114" t="s">
        <v>80</v>
      </c>
      <c r="B114"/>
      <c r="C114"/>
      <c r="D114"/>
      <c r="E114"/>
      <c r="F114"/>
      <c r="G114"/>
      <c r="H114"/>
      <c r="I114"/>
      <c r="J114"/>
      <c r="K114"/>
    </row>
    <row r="115" spans="1:11" ht="15">
      <c r="A115"/>
      <c r="B115" s="3" t="s">
        <v>81</v>
      </c>
      <c r="C115" s="3" t="s">
        <v>82</v>
      </c>
      <c r="D115" s="3" t="s">
        <v>83</v>
      </c>
      <c r="E115" s="3" t="s">
        <v>84</v>
      </c>
      <c r="F115" s="3" t="s">
        <v>85</v>
      </c>
      <c r="G115"/>
      <c r="H115"/>
      <c r="I115"/>
      <c r="J115"/>
      <c r="K115"/>
    </row>
    <row r="116" spans="1:11" ht="15">
      <c r="A116" s="8" t="s">
        <v>86</v>
      </c>
      <c r="B116" s="6"/>
      <c r="C116" s="11">
        <f>VLOOKUP(Vlookup!C75,'CDCM Forecast Data'!$A$14:$I$271,6,FALSE)</f>
        <v>0.37267999985613431</v>
      </c>
      <c r="D116" s="11">
        <f>VLOOKUP(Vlookup!D75,'CDCM Forecast Data'!$A$14:$I$271,6,FALSE)</f>
        <v>0.6188090826390088</v>
      </c>
      <c r="E116" s="11">
        <f>VLOOKUP(Vlookup!E75,'CDCM Forecast Data'!$A$14:$I$271,6,FALSE)</f>
        <v>0.3749541673400224</v>
      </c>
      <c r="F116" s="11">
        <f>VLOOKUP(Vlookup!F75,'CDCM Forecast Data'!$A$14:$I$271,6,FALSE)</f>
        <v>0.25863289422864333</v>
      </c>
      <c r="G116" s="7" t="s">
        <v>224</v>
      </c>
      <c r="H116"/>
      <c r="I116"/>
      <c r="J116"/>
      <c r="K116"/>
    </row>
    <row r="117" spans="1:11" ht="15">
      <c r="A117"/>
      <c r="B117"/>
      <c r="C117"/>
      <c r="D117"/>
      <c r="E117"/>
      <c r="F117"/>
      <c r="G117"/>
      <c r="H117"/>
      <c r="I117"/>
      <c r="J117"/>
      <c r="K117"/>
    </row>
    <row r="118" spans="1:11" ht="19.5">
      <c r="A118" s="1" t="s">
        <v>87</v>
      </c>
      <c r="B118"/>
      <c r="C118"/>
      <c r="D118"/>
      <c r="E118"/>
      <c r="F118"/>
      <c r="G118"/>
      <c r="H118"/>
      <c r="I118"/>
      <c r="J118"/>
      <c r="K118"/>
    </row>
    <row r="119" spans="1:11" ht="15">
      <c r="A119" s="2"/>
      <c r="B119"/>
      <c r="C119"/>
      <c r="D119"/>
      <c r="E119"/>
      <c r="F119"/>
      <c r="G119"/>
      <c r="H119"/>
      <c r="I119"/>
      <c r="J119"/>
      <c r="K119"/>
    </row>
    <row r="120" spans="1:11" ht="15">
      <c r="A120" t="s">
        <v>88</v>
      </c>
      <c r="B120"/>
      <c r="C120"/>
      <c r="D120"/>
      <c r="E120"/>
      <c r="F120"/>
      <c r="G120"/>
      <c r="H120"/>
      <c r="I120"/>
      <c r="J120"/>
      <c r="K120"/>
    </row>
    <row r="121" spans="1:11" ht="15">
      <c r="A121"/>
      <c r="B121" s="3" t="s">
        <v>89</v>
      </c>
      <c r="C121" s="3" t="s">
        <v>90</v>
      </c>
      <c r="D121"/>
      <c r="E121"/>
      <c r="F121"/>
      <c r="G121"/>
      <c r="H121"/>
      <c r="I121"/>
      <c r="J121"/>
      <c r="K121"/>
    </row>
    <row r="122" spans="1:11" ht="15">
      <c r="A122" s="8" t="s">
        <v>54</v>
      </c>
      <c r="B122" s="4">
        <f>VLOOKUP(Vlookup!B81,'CDCM Forecast Data'!$A$14:$I$271,6,FALSE)</f>
        <v>0.9161200130357342</v>
      </c>
      <c r="C122" s="4">
        <f>VLOOKUP(Vlookup!C81,'CDCM Forecast Data'!$A$14:$I$271,6,FALSE)</f>
        <v>0.41794848731992928</v>
      </c>
      <c r="D122" s="7" t="s">
        <v>224</v>
      </c>
      <c r="E122"/>
      <c r="F122"/>
      <c r="G122"/>
      <c r="H122"/>
      <c r="I122"/>
      <c r="J122"/>
      <c r="K122"/>
    </row>
    <row r="123" spans="1:11" ht="15">
      <c r="A123" s="8" t="s">
        <v>55</v>
      </c>
      <c r="B123" s="4">
        <f>VLOOKUP(Vlookup!B82,'CDCM Forecast Data'!$A$14:$I$271,6,FALSE)</f>
        <v>0.34251063480316429</v>
      </c>
      <c r="C123" s="4">
        <f>VLOOKUP(Vlookup!C82,'CDCM Forecast Data'!$A$14:$I$271,6,FALSE)</f>
        <v>0.25787268553133197</v>
      </c>
      <c r="D123" s="7" t="s">
        <v>224</v>
      </c>
      <c r="E123"/>
      <c r="F123"/>
      <c r="G123"/>
      <c r="H123"/>
      <c r="I123"/>
      <c r="J123"/>
      <c r="K123"/>
    </row>
    <row r="124" spans="1:11" ht="15">
      <c r="A124" s="8" t="s">
        <v>91</v>
      </c>
      <c r="B124" s="6"/>
      <c r="C124" s="4">
        <f>VLOOKUP(Vlookup!C83,'CDCM Forecast Data'!$A$14:$I$271,6,FALSE)</f>
        <v>0.14408187510851836</v>
      </c>
      <c r="D124" s="7" t="s">
        <v>224</v>
      </c>
      <c r="E124"/>
      <c r="F124"/>
      <c r="G124"/>
      <c r="H124"/>
      <c r="I124"/>
      <c r="J124"/>
      <c r="K124"/>
    </row>
    <row r="125" spans="1:11" ht="15">
      <c r="A125" s="8" t="s">
        <v>56</v>
      </c>
      <c r="B125" s="4">
        <f>VLOOKUP(Vlookup!B84,'CDCM Forecast Data'!$A$14:$I$271,6,FALSE)</f>
        <v>0.63581024857807822</v>
      </c>
      <c r="C125" s="4">
        <f>VLOOKUP(Vlookup!C84,'CDCM Forecast Data'!$A$14:$I$271,6,FALSE)</f>
        <v>0.39168322631991553</v>
      </c>
      <c r="D125" s="7" t="s">
        <v>224</v>
      </c>
      <c r="E125"/>
      <c r="F125"/>
      <c r="G125"/>
      <c r="H125"/>
      <c r="I125"/>
      <c r="J125"/>
      <c r="K125"/>
    </row>
    <row r="126" spans="1:11" ht="15">
      <c r="A126" s="8" t="s">
        <v>57</v>
      </c>
      <c r="B126" s="4">
        <f>VLOOKUP(Vlookup!B85,'CDCM Forecast Data'!$A$14:$I$271,6,FALSE)</f>
        <v>0.58840544954710228</v>
      </c>
      <c r="C126" s="4">
        <f>VLOOKUP(Vlookup!C85,'CDCM Forecast Data'!$A$14:$I$271,6,FALSE)</f>
        <v>0.4286725135799398</v>
      </c>
      <c r="D126" s="7" t="s">
        <v>224</v>
      </c>
      <c r="E126"/>
      <c r="F126"/>
      <c r="G126"/>
      <c r="H126"/>
      <c r="I126"/>
      <c r="J126"/>
      <c r="K126"/>
    </row>
    <row r="127" spans="1:11" ht="15">
      <c r="A127" s="8" t="s">
        <v>92</v>
      </c>
      <c r="B127" s="6"/>
      <c r="C127" s="4">
        <f>VLOOKUP(Vlookup!C86,'CDCM Forecast Data'!$A$14:$I$271,6,FALSE)</f>
        <v>0.15294404542816803</v>
      </c>
      <c r="D127" s="7" t="s">
        <v>224</v>
      </c>
      <c r="E127"/>
      <c r="F127"/>
      <c r="G127"/>
      <c r="H127"/>
      <c r="I127"/>
      <c r="J127"/>
      <c r="K127"/>
    </row>
    <row r="128" spans="1:11" ht="15">
      <c r="A128" s="8" t="s">
        <v>58</v>
      </c>
      <c r="B128" s="4">
        <f>VLOOKUP(Vlookup!B87,'CDCM Forecast Data'!$A$14:$I$271,6,FALSE)</f>
        <v>0.85855132048386718</v>
      </c>
      <c r="C128" s="4">
        <f>VLOOKUP(Vlookup!C87,'CDCM Forecast Data'!$A$14:$I$271,6,FALSE)</f>
        <v>0.59360150796757727</v>
      </c>
      <c r="D128" s="7" t="s">
        <v>224</v>
      </c>
      <c r="E128"/>
      <c r="F128"/>
      <c r="G128"/>
      <c r="H128"/>
      <c r="I128"/>
      <c r="J128"/>
      <c r="K128"/>
    </row>
    <row r="129" spans="1:11" ht="15">
      <c r="A129" s="8" t="s">
        <v>59</v>
      </c>
      <c r="B129" s="4">
        <f>VLOOKUP(Vlookup!B88,'CDCM Forecast Data'!$A$14:$I$271,6,FALSE)</f>
        <v>0.83823141723685424</v>
      </c>
      <c r="C129" s="4">
        <f>VLOOKUP(Vlookup!C88,'CDCM Forecast Data'!$A$14:$I$271,6,FALSE)</f>
        <v>0.60009005575416807</v>
      </c>
      <c r="D129" s="7" t="s">
        <v>224</v>
      </c>
      <c r="E129"/>
      <c r="F129"/>
      <c r="G129"/>
      <c r="H129"/>
      <c r="I129"/>
      <c r="J129"/>
      <c r="K129"/>
    </row>
    <row r="130" spans="1:11" ht="15">
      <c r="A130" s="8" t="s">
        <v>72</v>
      </c>
      <c r="B130" s="4">
        <f>VLOOKUP(Vlookup!B89,'CDCM Forecast Data'!$A$14:$I$271,6,FALSE)</f>
        <v>0.6632207801144262</v>
      </c>
      <c r="C130" s="4">
        <f>VLOOKUP(Vlookup!C89,'CDCM Forecast Data'!$A$14:$I$271,6,FALSE)</f>
        <v>0.45490842079580179</v>
      </c>
      <c r="D130" s="7" t="s">
        <v>224</v>
      </c>
      <c r="E130"/>
      <c r="F130"/>
      <c r="G130"/>
      <c r="H130"/>
      <c r="I130"/>
      <c r="J130"/>
      <c r="K130"/>
    </row>
    <row r="131" spans="1:11" ht="15">
      <c r="A131" s="8" t="s">
        <v>1178</v>
      </c>
      <c r="B131" s="4">
        <f>VLOOKUP(Vlookup!B90,'CDCM Forecast Data'!$A$14:$I$271,6,FALSE)</f>
        <v>0.82598957531386852</v>
      </c>
      <c r="C131" s="4">
        <f>VLOOKUP(Vlookup!C90,'CDCM Forecast Data'!$A$14:$I$271,6,FALSE)</f>
        <v>0.38999288958750616</v>
      </c>
      <c r="D131" s="7" t="s">
        <v>224</v>
      </c>
      <c r="E131"/>
      <c r="F131"/>
      <c r="G131"/>
      <c r="H131"/>
      <c r="I131"/>
      <c r="J131"/>
      <c r="K131"/>
    </row>
    <row r="132" spans="1:11" ht="15">
      <c r="A132" s="8" t="s">
        <v>1177</v>
      </c>
      <c r="B132" s="4">
        <f>VLOOKUP(Vlookup!B91,'CDCM Forecast Data'!$A$14:$I$271,6,FALSE)</f>
        <v>0.62627960493623358</v>
      </c>
      <c r="C132" s="4">
        <f>VLOOKUP(Vlookup!C91,'CDCM Forecast Data'!$A$14:$I$271,6,FALSE)</f>
        <v>0.39304953059499698</v>
      </c>
      <c r="D132" s="7" t="s">
        <v>224</v>
      </c>
      <c r="E132"/>
      <c r="F132"/>
      <c r="G132"/>
      <c r="H132"/>
      <c r="I132"/>
      <c r="J132"/>
      <c r="K132"/>
    </row>
    <row r="133" spans="1:11" ht="15">
      <c r="A133" s="8" t="s">
        <v>60</v>
      </c>
      <c r="B133" s="4">
        <f>VLOOKUP(Vlookup!B92,'CDCM Forecast Data'!$A$14:$I$271,6,FALSE)</f>
        <v>0.80328789495257791</v>
      </c>
      <c r="C133" s="4">
        <f>VLOOKUP(Vlookup!C92,'CDCM Forecast Data'!$A$14:$I$271,6,FALSE)</f>
        <v>0.58758032453585229</v>
      </c>
      <c r="D133" s="7" t="s">
        <v>224</v>
      </c>
      <c r="E133"/>
      <c r="F133"/>
      <c r="G133"/>
      <c r="H133"/>
      <c r="I133"/>
      <c r="J133"/>
      <c r="K133"/>
    </row>
    <row r="134" spans="1:11" ht="15">
      <c r="A134" s="8" t="s">
        <v>61</v>
      </c>
      <c r="B134" s="4">
        <f>VLOOKUP(Vlookup!B93,'CDCM Forecast Data'!$A$14:$I$271,6,FALSE)</f>
        <v>0.76581938451320009</v>
      </c>
      <c r="C134" s="4">
        <f>VLOOKUP(Vlookup!C93,'CDCM Forecast Data'!$A$14:$I$271,6,FALSE)</f>
        <v>0.6115171758902811</v>
      </c>
      <c r="D134" s="7"/>
      <c r="E134"/>
      <c r="F134"/>
      <c r="G134"/>
      <c r="H134"/>
      <c r="I134"/>
      <c r="J134"/>
      <c r="K134"/>
    </row>
    <row r="135" spans="1:11" ht="15">
      <c r="A135" s="8" t="s">
        <v>73</v>
      </c>
      <c r="B135" s="4">
        <f>VLOOKUP(Vlookup!B94,'CDCM Forecast Data'!$A$14:$I$271,6,FALSE)</f>
        <v>0.8005762642301345</v>
      </c>
      <c r="C135" s="4">
        <f>VLOOKUP(Vlookup!C94,'CDCM Forecast Data'!$A$14:$I$271,6,FALSE)</f>
        <v>0.72287194628784801</v>
      </c>
      <c r="D135" s="7"/>
      <c r="E135"/>
      <c r="F135"/>
      <c r="G135"/>
      <c r="H135"/>
      <c r="I135"/>
      <c r="J135"/>
      <c r="K135"/>
    </row>
    <row r="136" spans="1:11" ht="15">
      <c r="A136" s="8" t="s">
        <v>93</v>
      </c>
      <c r="B136" s="4">
        <f>VLOOKUP(Vlookup!B95,'CDCM Forecast Data'!$A$14:$I$271,6,FALSE)</f>
        <v>1</v>
      </c>
      <c r="C136" s="4">
        <f>VLOOKUP(Vlookup!C95,'CDCM Forecast Data'!$A$14:$I$271,6,FALSE)</f>
        <v>1</v>
      </c>
      <c r="D136" s="7" t="s">
        <v>224</v>
      </c>
      <c r="E136"/>
      <c r="F136"/>
      <c r="G136"/>
      <c r="H136"/>
      <c r="I136"/>
      <c r="J136"/>
      <c r="K136"/>
    </row>
    <row r="137" spans="1:11" ht="15">
      <c r="A137" s="8" t="s">
        <v>94</v>
      </c>
      <c r="B137" s="4">
        <f>VLOOKUP(Vlookup!B96,'CDCM Forecast Data'!$A$14:$I$271,6,FALSE)</f>
        <v>0.98387596899224805</v>
      </c>
      <c r="C137" s="4">
        <f>VLOOKUP(Vlookup!C96,'CDCM Forecast Data'!$A$14:$I$271,6,FALSE)</f>
        <v>0.47495478910775929</v>
      </c>
      <c r="D137" s="7"/>
      <c r="E137"/>
      <c r="F137"/>
      <c r="G137"/>
      <c r="H137"/>
      <c r="I137"/>
      <c r="J137"/>
      <c r="K137"/>
    </row>
    <row r="138" spans="1:11" ht="15">
      <c r="A138" s="8" t="s">
        <v>95</v>
      </c>
      <c r="B138" s="4">
        <f>VLOOKUP(Vlookup!B97,'CDCM Forecast Data'!$A$14:$I$271,6,FALSE)</f>
        <v>0.88050584275830202</v>
      </c>
      <c r="C138" s="4">
        <f>VLOOKUP(Vlookup!C97,'CDCM Forecast Data'!$A$14:$I$271,6,FALSE)</f>
        <v>0.24631614975022856</v>
      </c>
      <c r="D138" s="7"/>
      <c r="E138"/>
      <c r="F138"/>
      <c r="G138"/>
      <c r="H138"/>
      <c r="I138"/>
      <c r="J138"/>
      <c r="K138"/>
    </row>
    <row r="139" spans="1:11" ht="15">
      <c r="A139" s="8" t="s">
        <v>96</v>
      </c>
      <c r="B139" s="4">
        <f>VLOOKUP(Vlookup!B98,'CDCM Forecast Data'!$A$14:$I$271,6,FALSE)</f>
        <v>0</v>
      </c>
      <c r="C139" s="4">
        <f>VLOOKUP(Vlookup!C98,'CDCM Forecast Data'!$A$14:$I$271,6,FALSE)</f>
        <v>0.51526593887289751</v>
      </c>
      <c r="D139" s="7"/>
      <c r="E139"/>
      <c r="F139"/>
      <c r="G139"/>
      <c r="H139"/>
      <c r="I139"/>
      <c r="J139"/>
      <c r="K139"/>
    </row>
    <row r="140" spans="1:11" ht="15">
      <c r="A140" s="8" t="s">
        <v>97</v>
      </c>
      <c r="B140" s="4">
        <f>VLOOKUP(Vlookup!B99,'CDCM Forecast Data'!$A$14:$I$271,6,FALSE)</f>
        <v>0.97137455011863161</v>
      </c>
      <c r="C140" s="4">
        <f>VLOOKUP(Vlookup!C99,'CDCM Forecast Data'!$A$14:$I$271,6,FALSE)</f>
        <v>0.45549294344669516</v>
      </c>
      <c r="D140" s="7" t="s">
        <v>224</v>
      </c>
      <c r="E140"/>
      <c r="F140"/>
      <c r="G140"/>
      <c r="H140"/>
      <c r="I140"/>
      <c r="J140"/>
      <c r="K140"/>
    </row>
    <row r="141" spans="1:11" ht="15">
      <c r="A141"/>
      <c r="B141"/>
      <c r="C141"/>
      <c r="D141"/>
      <c r="E141"/>
      <c r="F141"/>
      <c r="G141"/>
      <c r="H141"/>
      <c r="I141"/>
      <c r="J141"/>
      <c r="K141"/>
    </row>
    <row r="142" spans="1:11" ht="19.5">
      <c r="A142" s="1" t="s">
        <v>98</v>
      </c>
      <c r="B142"/>
      <c r="C142"/>
      <c r="D142"/>
      <c r="E142"/>
      <c r="F142"/>
      <c r="G142"/>
      <c r="H142"/>
      <c r="I142"/>
      <c r="J142"/>
      <c r="K142"/>
    </row>
    <row r="143" spans="1:11" ht="15">
      <c r="A143" s="2" t="s">
        <v>224</v>
      </c>
      <c r="B143">
        <v>11</v>
      </c>
      <c r="C143">
        <v>12</v>
      </c>
      <c r="D143">
        <v>13</v>
      </c>
      <c r="E143">
        <v>14</v>
      </c>
      <c r="F143">
        <v>15</v>
      </c>
      <c r="G143">
        <v>16</v>
      </c>
      <c r="H143">
        <v>17</v>
      </c>
      <c r="I143"/>
      <c r="J143"/>
      <c r="K143"/>
    </row>
    <row r="144" spans="1:11" ht="15">
      <c r="A144" s="2" t="s">
        <v>99</v>
      </c>
      <c r="B144"/>
      <c r="C144"/>
      <c r="D144"/>
      <c r="E144"/>
      <c r="F144"/>
      <c r="G144"/>
      <c r="H144"/>
      <c r="I144"/>
      <c r="J144"/>
      <c r="K144"/>
    </row>
    <row r="145" spans="1:12" ht="15">
      <c r="A145" s="2" t="s">
        <v>100</v>
      </c>
      <c r="B145"/>
      <c r="C145"/>
      <c r="D145"/>
      <c r="E145"/>
      <c r="F145"/>
      <c r="G145"/>
      <c r="H145"/>
      <c r="I145"/>
      <c r="J145"/>
      <c r="K145"/>
    </row>
    <row r="146" spans="1:12" ht="15">
      <c r="A146" t="s">
        <v>101</v>
      </c>
      <c r="B146"/>
      <c r="C146"/>
      <c r="D146"/>
      <c r="E146"/>
      <c r="F146"/>
      <c r="G146"/>
      <c r="H146"/>
      <c r="I146"/>
      <c r="J146"/>
      <c r="K146"/>
    </row>
    <row r="147" spans="1:12" ht="30">
      <c r="A147"/>
      <c r="B147" s="3" t="s">
        <v>102</v>
      </c>
      <c r="C147" s="3" t="s">
        <v>103</v>
      </c>
      <c r="D147" s="3" t="s">
        <v>104</v>
      </c>
      <c r="E147" s="3" t="s">
        <v>105</v>
      </c>
      <c r="F147" s="3" t="s">
        <v>106</v>
      </c>
      <c r="G147" s="284" t="s">
        <v>1569</v>
      </c>
      <c r="H147" s="3" t="s">
        <v>107</v>
      </c>
      <c r="I147"/>
      <c r="J147"/>
      <c r="K147"/>
      <c r="L147"/>
    </row>
    <row r="148" spans="1:12" ht="15">
      <c r="A148" s="12" t="s">
        <v>108</v>
      </c>
      <c r="B148" s="13">
        <f>VLOOKUP(Vlookup!$B107,'CDCM Volume Forecasts'!$A$28:$AL$136,B$143,FALSE)</f>
        <v>0</v>
      </c>
      <c r="C148" s="13">
        <f>VLOOKUP(Vlookup!$B107,'CDCM Volume Forecasts'!$A$28:$AL$136,C$143,FALSE)</f>
        <v>0</v>
      </c>
      <c r="D148" s="13">
        <f>VLOOKUP(Vlookup!$B107,'CDCM Volume Forecasts'!$A$28:$AL$136,D$143,FALSE)</f>
        <v>0</v>
      </c>
      <c r="E148" s="13">
        <f>VLOOKUP(Vlookup!$B107,'CDCM Volume Forecasts'!$A$28:$AL$136,E$143,FALSE)</f>
        <v>0</v>
      </c>
      <c r="F148" s="13">
        <f>VLOOKUP(Vlookup!$B107,'CDCM Volume Forecasts'!$A$28:$AL$136,F$143,FALSE)</f>
        <v>0</v>
      </c>
      <c r="G148" s="13"/>
      <c r="H148" s="13">
        <f>VLOOKUP(Vlookup!$B107,'CDCM Volume Forecasts'!$A$28:$AL$136,G$143,FALSE)</f>
        <v>0</v>
      </c>
      <c r="I148" s="7"/>
      <c r="J148"/>
      <c r="K148"/>
      <c r="L148"/>
    </row>
    <row r="149" spans="1:12" ht="15">
      <c r="A149" s="8" t="s">
        <v>54</v>
      </c>
      <c r="B149" s="266">
        <f>VLOOKUP(Vlookup!$B108,'CDCM Volume Forecasts'!$A$28:$AL$136,B$143,FALSE)</f>
        <v>4308328.1799358893</v>
      </c>
      <c r="C149" s="292"/>
      <c r="D149" s="292"/>
      <c r="E149" s="266">
        <f>VLOOKUP(Vlookup!$B108,'CDCM Volume Forecasts'!$A$28:$AL$136,E$143,FALSE)</f>
        <v>1249039.053009829</v>
      </c>
      <c r="F149" s="292"/>
      <c r="G149" s="292"/>
      <c r="H149" s="292"/>
      <c r="I149" s="7"/>
      <c r="J149"/>
      <c r="K149"/>
      <c r="L149"/>
    </row>
    <row r="150" spans="1:12" ht="15">
      <c r="A150" s="8" t="s">
        <v>109</v>
      </c>
      <c r="B150" s="266">
        <f>VLOOKUP(Vlookup!$B109,'CDCM Volume Forecasts'!$A$28:$AL$136,B$143,FALSE)</f>
        <v>17317.244984043104</v>
      </c>
      <c r="C150" s="292"/>
      <c r="D150" s="292"/>
      <c r="E150" s="266">
        <f>VLOOKUP(Vlookup!$B109,'CDCM Volume Forecasts'!$A$28:$AL$136,E$143,FALSE)</f>
        <v>6432.4704020547961</v>
      </c>
      <c r="F150" s="292"/>
      <c r="G150" s="292"/>
      <c r="H150" s="292"/>
      <c r="I150" s="7"/>
      <c r="J150"/>
      <c r="K150"/>
      <c r="L150"/>
    </row>
    <row r="151" spans="1:12" ht="15">
      <c r="A151" s="8" t="s">
        <v>110</v>
      </c>
      <c r="B151" s="266">
        <f>VLOOKUP(Vlookup!$B110,'CDCM Volume Forecasts'!$A$28:$AL$136,B$143,FALSE)</f>
        <v>30359.986233439653</v>
      </c>
      <c r="C151" s="292"/>
      <c r="D151" s="292"/>
      <c r="E151" s="266">
        <f>VLOOKUP(Vlookup!$B110,'CDCM Volume Forecasts'!$A$28:$AL$136,E$143,FALSE)</f>
        <v>11844.01251369863</v>
      </c>
      <c r="F151" s="292"/>
      <c r="G151" s="292"/>
      <c r="H151" s="292"/>
      <c r="I151" s="7"/>
      <c r="J151"/>
      <c r="K151"/>
      <c r="L151"/>
    </row>
    <row r="152" spans="1:12" ht="15">
      <c r="A152" s="12" t="s">
        <v>111</v>
      </c>
      <c r="B152" s="290"/>
      <c r="C152" s="290"/>
      <c r="D152" s="290"/>
      <c r="E152" s="290"/>
      <c r="F152" s="290"/>
      <c r="G152" s="290"/>
      <c r="H152" s="290"/>
      <c r="I152" s="7"/>
      <c r="J152"/>
      <c r="K152"/>
      <c r="L152"/>
    </row>
    <row r="153" spans="1:12" ht="15">
      <c r="A153" s="8" t="s">
        <v>55</v>
      </c>
      <c r="B153" s="266">
        <f>VLOOKUP(Vlookup!$B112,'CDCM Volume Forecasts'!$A$28:$AL$136,B$143,FALSE)</f>
        <v>607941.0703076917</v>
      </c>
      <c r="C153" s="266">
        <f>VLOOKUP(Vlookup!$B112,'CDCM Volume Forecasts'!$A$28:$AL$136,C$143,FALSE)</f>
        <v>664320.74235178798</v>
      </c>
      <c r="D153" s="292"/>
      <c r="E153" s="266">
        <f>VLOOKUP(Vlookup!$B112,'CDCM Volume Forecasts'!$A$28:$AL$136,E$143,FALSE)</f>
        <v>209037.51452636323</v>
      </c>
      <c r="F153" s="292"/>
      <c r="G153" s="292"/>
      <c r="H153" s="292"/>
      <c r="I153" s="7"/>
      <c r="J153"/>
      <c r="K153"/>
      <c r="L153"/>
    </row>
    <row r="154" spans="1:12" ht="15">
      <c r="A154" s="8" t="s">
        <v>112</v>
      </c>
      <c r="B154" s="266">
        <f>VLOOKUP(Vlookup!$B113,'CDCM Volume Forecasts'!$A$28:$AL$136,B$143,FALSE)</f>
        <v>996.33454580172418</v>
      </c>
      <c r="C154" s="266">
        <f>VLOOKUP(Vlookup!$B113,'CDCM Volume Forecasts'!$A$28:$AL$136,C$143,FALSE)</f>
        <v>464.31544950000011</v>
      </c>
      <c r="D154" s="292"/>
      <c r="E154" s="266">
        <f>VLOOKUP(Vlookup!$B113,'CDCM Volume Forecasts'!$A$28:$AL$136,E$143,FALSE)</f>
        <v>424.57848904109591</v>
      </c>
      <c r="F154" s="292"/>
      <c r="G154" s="292"/>
      <c r="H154" s="292"/>
      <c r="I154" s="7"/>
      <c r="J154"/>
      <c r="K154"/>
      <c r="L154"/>
    </row>
    <row r="155" spans="1:12" ht="15">
      <c r="A155" s="8" t="s">
        <v>113</v>
      </c>
      <c r="B155" s="266">
        <f>VLOOKUP(Vlookup!$B114,'CDCM Volume Forecasts'!$A$28:$AL$136,B$143,FALSE)</f>
        <v>958.18848680172437</v>
      </c>
      <c r="C155" s="266">
        <f>VLOOKUP(Vlookup!$B114,'CDCM Volume Forecasts'!$A$28:$AL$136,C$143,FALSE)</f>
        <v>407.95688506034486</v>
      </c>
      <c r="D155" s="292"/>
      <c r="E155" s="266">
        <f>VLOOKUP(Vlookup!$B114,'CDCM Volume Forecasts'!$A$28:$AL$136,E$143,FALSE)</f>
        <v>368.39690136986303</v>
      </c>
      <c r="F155" s="292"/>
      <c r="G155" s="292"/>
      <c r="H155" s="292"/>
      <c r="I155" s="7"/>
      <c r="J155"/>
      <c r="K155"/>
      <c r="L155"/>
    </row>
    <row r="156" spans="1:12" ht="15">
      <c r="A156" s="12" t="s">
        <v>114</v>
      </c>
      <c r="B156" s="290"/>
      <c r="C156" s="290"/>
      <c r="D156" s="290"/>
      <c r="E156" s="290"/>
      <c r="F156" s="290"/>
      <c r="G156" s="290"/>
      <c r="H156" s="290"/>
      <c r="I156" s="7"/>
      <c r="J156"/>
      <c r="K156"/>
      <c r="L156"/>
    </row>
    <row r="157" spans="1:12" ht="15">
      <c r="A157" s="8" t="s">
        <v>91</v>
      </c>
      <c r="B157" s="266">
        <f>VLOOKUP(Vlookup!$B116,'CDCM Volume Forecasts'!$A$28:$AL$136,B$143,FALSE)</f>
        <v>45959.708361578618</v>
      </c>
      <c r="C157" s="292"/>
      <c r="D157" s="292"/>
      <c r="E157" s="266">
        <f>VLOOKUP(Vlookup!$B116,'CDCM Volume Forecasts'!$A$28:$AL$136,E$143,FALSE)</f>
        <v>15622</v>
      </c>
      <c r="F157" s="292"/>
      <c r="G157" s="292"/>
      <c r="H157" s="292"/>
      <c r="I157" s="7"/>
      <c r="J157"/>
      <c r="K157"/>
      <c r="L157"/>
    </row>
    <row r="158" spans="1:12" ht="15">
      <c r="A158" s="8" t="s">
        <v>115</v>
      </c>
      <c r="B158" s="266">
        <f>VLOOKUP(Vlookup!$B117,'CDCM Volume Forecasts'!$A$28:$AL$136,B$143,FALSE)</f>
        <v>0</v>
      </c>
      <c r="C158" s="292"/>
      <c r="D158" s="292"/>
      <c r="E158" s="266">
        <f>VLOOKUP(Vlookup!$B117,'CDCM Volume Forecasts'!$A$28:$AL$136,E$143,FALSE)</f>
        <v>0</v>
      </c>
      <c r="F158" s="292"/>
      <c r="G158" s="292"/>
      <c r="H158" s="292"/>
      <c r="I158" s="7"/>
      <c r="J158"/>
      <c r="K158"/>
      <c r="L158"/>
    </row>
    <row r="159" spans="1:12" ht="15">
      <c r="A159" s="8" t="s">
        <v>116</v>
      </c>
      <c r="B159" s="266">
        <f>VLOOKUP(Vlookup!$B118,'CDCM Volume Forecasts'!$A$28:$AL$136,B$143,FALSE)</f>
        <v>0</v>
      </c>
      <c r="C159" s="292"/>
      <c r="D159" s="292"/>
      <c r="E159" s="266">
        <f>VLOOKUP(Vlookup!$B118,'CDCM Volume Forecasts'!$A$28:$AL$136,E$143,FALSE)</f>
        <v>0</v>
      </c>
      <c r="F159" s="292"/>
      <c r="G159" s="292"/>
      <c r="H159" s="292"/>
      <c r="I159" s="7"/>
      <c r="J159"/>
      <c r="K159"/>
      <c r="L159"/>
    </row>
    <row r="160" spans="1:12" ht="15">
      <c r="A160" s="12" t="s">
        <v>117</v>
      </c>
      <c r="B160" s="290"/>
      <c r="C160" s="290"/>
      <c r="D160" s="290"/>
      <c r="E160" s="290"/>
      <c r="F160" s="290"/>
      <c r="G160" s="290"/>
      <c r="H160" s="290"/>
      <c r="I160" s="7"/>
      <c r="J160"/>
      <c r="K160"/>
      <c r="L160"/>
    </row>
    <row r="161" spans="1:12" ht="15">
      <c r="A161" s="8" t="s">
        <v>56</v>
      </c>
      <c r="B161" s="266">
        <f>VLOOKUP(Vlookup!$B120,'CDCM Volume Forecasts'!$A$28:$AL$136,B$143,FALSE)</f>
        <v>1179331.5292248435</v>
      </c>
      <c r="C161" s="292"/>
      <c r="D161" s="292"/>
      <c r="E161" s="266">
        <f>VLOOKUP(Vlookup!$B120,'CDCM Volume Forecasts'!$A$28:$AL$136,E$143,FALSE)</f>
        <v>110093.23974331518</v>
      </c>
      <c r="F161" s="292"/>
      <c r="G161" s="292"/>
      <c r="H161" s="292"/>
      <c r="I161" s="7"/>
      <c r="J161"/>
      <c r="K161"/>
      <c r="L161"/>
    </row>
    <row r="162" spans="1:12" ht="15">
      <c r="A162" s="8" t="s">
        <v>118</v>
      </c>
      <c r="B162" s="266">
        <f>VLOOKUP(Vlookup!$B121,'CDCM Volume Forecasts'!$A$28:$AL$136,B$143,FALSE)</f>
        <v>788.43675949137935</v>
      </c>
      <c r="C162" s="292"/>
      <c r="D162" s="292"/>
      <c r="E162" s="266">
        <f>VLOOKUP(Vlookup!$B121,'CDCM Volume Forecasts'!$A$28:$AL$136,E$143,FALSE)</f>
        <v>127.831401369863</v>
      </c>
      <c r="F162" s="292"/>
      <c r="G162" s="292"/>
      <c r="H162" s="292"/>
      <c r="I162" s="7"/>
      <c r="J162"/>
      <c r="K162"/>
      <c r="L162"/>
    </row>
    <row r="163" spans="1:12" ht="15">
      <c r="A163" s="8" t="s">
        <v>119</v>
      </c>
      <c r="B163" s="266">
        <f>VLOOKUP(Vlookup!$B122,'CDCM Volume Forecasts'!$A$28:$AL$136,B$143,FALSE)</f>
        <v>7392.7733794913811</v>
      </c>
      <c r="C163" s="292"/>
      <c r="D163" s="292"/>
      <c r="E163" s="266">
        <f>VLOOKUP(Vlookup!$B122,'CDCM Volume Forecasts'!$A$28:$AL$136,E$143,FALSE)</f>
        <v>462.20062191780835</v>
      </c>
      <c r="F163" s="292"/>
      <c r="G163" s="292"/>
      <c r="H163" s="292"/>
      <c r="I163" s="7"/>
      <c r="J163"/>
      <c r="K163"/>
      <c r="L163"/>
    </row>
    <row r="164" spans="1:12" ht="15">
      <c r="A164" s="12" t="s">
        <v>120</v>
      </c>
      <c r="B164" s="290"/>
      <c r="C164" s="290"/>
      <c r="D164" s="290"/>
      <c r="E164" s="290"/>
      <c r="F164" s="290"/>
      <c r="G164" s="290"/>
      <c r="H164" s="290"/>
      <c r="I164" s="7"/>
      <c r="J164"/>
      <c r="K164"/>
      <c r="L164"/>
    </row>
    <row r="165" spans="1:12" ht="15">
      <c r="A165" s="8" t="s">
        <v>57</v>
      </c>
      <c r="B165" s="266">
        <f>VLOOKUP(Vlookup!$B124,'CDCM Volume Forecasts'!$A$28:$AL$136,B$143,FALSE)</f>
        <v>394405.65408074018</v>
      </c>
      <c r="C165" s="266">
        <f>VLOOKUP(Vlookup!$B124,'CDCM Volume Forecasts'!$A$28:$AL$136,C$143,FALSE)</f>
        <v>183263.23104870663</v>
      </c>
      <c r="D165" s="292"/>
      <c r="E165" s="266">
        <f>VLOOKUP(Vlookup!$B124,'CDCM Volume Forecasts'!$A$28:$AL$136,E$143,FALSE)</f>
        <v>29443.268260965255</v>
      </c>
      <c r="F165" s="292"/>
      <c r="G165" s="292"/>
      <c r="H165" s="292"/>
      <c r="I165" s="7"/>
      <c r="J165"/>
      <c r="K165"/>
      <c r="L165"/>
    </row>
    <row r="166" spans="1:12" ht="15">
      <c r="A166" s="8" t="s">
        <v>121</v>
      </c>
      <c r="B166" s="266">
        <f>VLOOKUP(Vlookup!$B125,'CDCM Volume Forecasts'!$A$28:$AL$136,B$143,FALSE)</f>
        <v>41.250505112068964</v>
      </c>
      <c r="C166" s="266">
        <f>VLOOKUP(Vlookup!$B125,'CDCM Volume Forecasts'!$A$28:$AL$136,C$143,FALSE)</f>
        <v>17.318100413793108</v>
      </c>
      <c r="D166" s="292"/>
      <c r="E166" s="266">
        <f>VLOOKUP(Vlookup!$B125,'CDCM Volume Forecasts'!$A$28:$AL$136,E$143,FALSE)</f>
        <v>2.757156164383562</v>
      </c>
      <c r="F166" s="292"/>
      <c r="G166" s="292"/>
      <c r="H166" s="292"/>
      <c r="I166" s="7"/>
      <c r="J166"/>
      <c r="K166"/>
      <c r="L166"/>
    </row>
    <row r="167" spans="1:12" ht="15">
      <c r="A167" s="8" t="s">
        <v>122</v>
      </c>
      <c r="B167" s="266">
        <f>VLOOKUP(Vlookup!$B126,'CDCM Volume Forecasts'!$A$28:$AL$136,B$143,FALSE)</f>
        <v>926.24888312068981</v>
      </c>
      <c r="C167" s="266">
        <f>VLOOKUP(Vlookup!$B126,'CDCM Volume Forecasts'!$A$28:$AL$136,C$143,FALSE)</f>
        <v>260.32896822413795</v>
      </c>
      <c r="D167" s="292"/>
      <c r="E167" s="266">
        <f>VLOOKUP(Vlookup!$B126,'CDCM Volume Forecasts'!$A$28:$AL$136,E$143,FALSE)</f>
        <v>23.554836986301375</v>
      </c>
      <c r="F167" s="292"/>
      <c r="G167" s="292"/>
      <c r="H167" s="292"/>
      <c r="I167" s="7"/>
      <c r="J167"/>
      <c r="K167"/>
      <c r="L167"/>
    </row>
    <row r="168" spans="1:12" ht="15">
      <c r="A168" s="12" t="s">
        <v>123</v>
      </c>
      <c r="B168" s="290"/>
      <c r="C168" s="290"/>
      <c r="D168" s="290"/>
      <c r="E168" s="290"/>
      <c r="F168" s="290"/>
      <c r="G168" s="290"/>
      <c r="H168" s="290"/>
      <c r="I168" s="7"/>
      <c r="J168"/>
      <c r="K168"/>
      <c r="L168"/>
    </row>
    <row r="169" spans="1:12" ht="15">
      <c r="A169" s="8" t="s">
        <v>92</v>
      </c>
      <c r="B169" s="266">
        <f>VLOOKUP(Vlookup!$B128,'CDCM Volume Forecasts'!$A$28:$AL$136,B$143,FALSE)</f>
        <v>17319.819478475714</v>
      </c>
      <c r="C169" s="292"/>
      <c r="D169" s="292"/>
      <c r="E169" s="266">
        <f>VLOOKUP(Vlookup!$B128,'CDCM Volume Forecasts'!$A$28:$AL$136,E$143,FALSE)</f>
        <v>3339</v>
      </c>
      <c r="F169" s="292"/>
      <c r="G169" s="292"/>
      <c r="H169" s="292"/>
      <c r="I169" s="7"/>
      <c r="J169"/>
      <c r="K169"/>
      <c r="L169"/>
    </row>
    <row r="170" spans="1:12" ht="30">
      <c r="A170" s="8" t="s">
        <v>124</v>
      </c>
      <c r="B170" s="266">
        <f>VLOOKUP(Vlookup!$B129,'CDCM Volume Forecasts'!$A$28:$AL$136,B$143,FALSE)</f>
        <v>0</v>
      </c>
      <c r="C170" s="292"/>
      <c r="D170" s="292"/>
      <c r="E170" s="266">
        <f>VLOOKUP(Vlookup!$B129,'CDCM Volume Forecasts'!$A$28:$AL$136,E$143,FALSE)</f>
        <v>0</v>
      </c>
      <c r="F170" s="292"/>
      <c r="G170" s="292"/>
      <c r="H170" s="292"/>
      <c r="I170" s="7"/>
      <c r="J170"/>
      <c r="K170"/>
      <c r="L170"/>
    </row>
    <row r="171" spans="1:12" ht="30">
      <c r="A171" s="8" t="s">
        <v>125</v>
      </c>
      <c r="B171" s="266">
        <f>VLOOKUP(Vlookup!$B130,'CDCM Volume Forecasts'!$A$28:$AL$136,B$143,FALSE)</f>
        <v>0</v>
      </c>
      <c r="C171" s="292"/>
      <c r="D171" s="292"/>
      <c r="E171" s="266">
        <f>VLOOKUP(Vlookup!$B130,'CDCM Volume Forecasts'!$A$28:$AL$136,E$143,FALSE)</f>
        <v>0</v>
      </c>
      <c r="F171" s="292"/>
      <c r="G171" s="292"/>
      <c r="H171" s="292"/>
      <c r="I171" s="7"/>
      <c r="J171"/>
      <c r="K171"/>
      <c r="L171"/>
    </row>
    <row r="172" spans="1:12" ht="15">
      <c r="A172" s="12" t="s">
        <v>126</v>
      </c>
      <c r="B172" s="290"/>
      <c r="C172" s="290"/>
      <c r="D172" s="290"/>
      <c r="E172" s="290"/>
      <c r="F172" s="290"/>
      <c r="G172" s="290"/>
      <c r="H172" s="290"/>
      <c r="I172" s="7"/>
      <c r="J172"/>
      <c r="K172"/>
      <c r="L172"/>
    </row>
    <row r="173" spans="1:12" ht="15">
      <c r="A173" s="8" t="s">
        <v>58</v>
      </c>
      <c r="B173" s="266">
        <f>VLOOKUP(Vlookup!$B132,'CDCM Volume Forecasts'!$A$28:$AL$136,B$143,FALSE)</f>
        <v>8.0133204024159801E-4</v>
      </c>
      <c r="C173" s="266">
        <f>VLOOKUP(Vlookup!$B132,'CDCM Volume Forecasts'!$A$28:$AL$136,C$143,FALSE)</f>
        <v>1.9866795975840209E-4</v>
      </c>
      <c r="D173" s="292"/>
      <c r="E173" s="266">
        <f>VLOOKUP(Vlookup!$B132,'CDCM Volume Forecasts'!$A$28:$AL$136,E$143,FALSE)</f>
        <v>1.1375306250331345E-5</v>
      </c>
      <c r="F173" s="292"/>
      <c r="G173" s="292"/>
      <c r="H173" s="292"/>
      <c r="I173" s="7"/>
      <c r="J173"/>
      <c r="K173"/>
      <c r="L173"/>
    </row>
    <row r="174" spans="1:12" ht="15">
      <c r="A174" s="8" t="s">
        <v>127</v>
      </c>
      <c r="B174" s="266">
        <f>VLOOKUP(Vlookup!$B133,'CDCM Volume Forecasts'!$A$28:$AL$136,B$143,FALSE)</f>
        <v>0</v>
      </c>
      <c r="C174" s="266">
        <f>VLOOKUP(Vlookup!$B133,'CDCM Volume Forecasts'!$A$28:$AL$136,C$143,FALSE)</f>
        <v>0</v>
      </c>
      <c r="D174" s="292"/>
      <c r="E174" s="266">
        <f>VLOOKUP(Vlookup!$B133,'CDCM Volume Forecasts'!$A$28:$AL$136,E$143,FALSE)</f>
        <v>0</v>
      </c>
      <c r="F174" s="292"/>
      <c r="G174" s="292"/>
      <c r="H174" s="292"/>
      <c r="I174" s="7"/>
      <c r="J174"/>
      <c r="K174"/>
      <c r="L174"/>
    </row>
    <row r="175" spans="1:12" ht="15">
      <c r="A175" s="8" t="s">
        <v>128</v>
      </c>
      <c r="B175" s="266">
        <f>VLOOKUP(Vlookup!$B134,'CDCM Volume Forecasts'!$A$28:$AL$136,B$143,FALSE)</f>
        <v>0</v>
      </c>
      <c r="C175" s="266">
        <f>VLOOKUP(Vlookup!$B134,'CDCM Volume Forecasts'!$A$28:$AL$136,C$143,FALSE)</f>
        <v>0</v>
      </c>
      <c r="D175" s="292"/>
      <c r="E175" s="266">
        <f>VLOOKUP(Vlookup!$B134,'CDCM Volume Forecasts'!$A$28:$AL$136,E$143,FALSE)</f>
        <v>0</v>
      </c>
      <c r="F175" s="292"/>
      <c r="G175" s="292"/>
      <c r="H175" s="292"/>
      <c r="I175" s="7"/>
      <c r="J175"/>
      <c r="K175"/>
      <c r="L175"/>
    </row>
    <row r="176" spans="1:12" ht="15">
      <c r="A176" s="12" t="s">
        <v>129</v>
      </c>
      <c r="B176" s="290"/>
      <c r="C176" s="290"/>
      <c r="D176" s="290"/>
      <c r="E176" s="290"/>
      <c r="F176" s="290"/>
      <c r="G176" s="290"/>
      <c r="H176" s="290"/>
      <c r="I176" s="7"/>
      <c r="J176"/>
      <c r="K176"/>
      <c r="L176"/>
    </row>
    <row r="177" spans="1:12" ht="15">
      <c r="A177" s="8" t="s">
        <v>59</v>
      </c>
      <c r="B177" s="266">
        <f>VLOOKUP(Vlookup!$B136,'CDCM Volume Forecasts'!$A$28:$AL$136,B$143,FALSE)</f>
        <v>7.8187632481715845E-4</v>
      </c>
      <c r="C177" s="266">
        <f>VLOOKUP(Vlookup!$B136,'CDCM Volume Forecasts'!$A$28:$AL$136,C$143,FALSE)</f>
        <v>2.1812367518284149E-4</v>
      </c>
      <c r="D177" s="292"/>
      <c r="E177" s="266">
        <f>VLOOKUP(Vlookup!$B136,'CDCM Volume Forecasts'!$A$28:$AL$136,E$143,FALSE)</f>
        <v>8.3651490727006342E-6</v>
      </c>
      <c r="F177" s="292"/>
      <c r="G177" s="292"/>
      <c r="H177" s="292"/>
      <c r="I177" s="7"/>
      <c r="J177"/>
      <c r="K177"/>
      <c r="L177"/>
    </row>
    <row r="178" spans="1:12" ht="15">
      <c r="A178" s="12" t="s">
        <v>130</v>
      </c>
      <c r="B178" s="290"/>
      <c r="C178" s="290"/>
      <c r="D178" s="290"/>
      <c r="E178" s="290"/>
      <c r="F178" s="290"/>
      <c r="G178" s="290"/>
      <c r="H178" s="290"/>
      <c r="I178" s="7"/>
      <c r="J178"/>
      <c r="K178"/>
      <c r="L178"/>
    </row>
    <row r="179" spans="1:12" ht="15">
      <c r="A179" s="8" t="s">
        <v>72</v>
      </c>
      <c r="B179" s="266">
        <f>VLOOKUP(Vlookup!$B138,'CDCM Volume Forecasts'!$A$28:$AL$136,B$143,FALSE)</f>
        <v>7.7902953356325151E-4</v>
      </c>
      <c r="C179" s="266">
        <f>VLOOKUP(Vlookup!$B138,'CDCM Volume Forecasts'!$A$28:$AL$136,C$143,FALSE)</f>
        <v>2.2097046643674843E-4</v>
      </c>
      <c r="D179" s="292"/>
      <c r="E179" s="266">
        <f>VLOOKUP(Vlookup!$B138,'CDCM Volume Forecasts'!$A$28:$AL$136,E$143,FALSE)</f>
        <v>8.8911149421647205E-6</v>
      </c>
      <c r="F179" s="292"/>
      <c r="G179" s="292"/>
      <c r="H179" s="292"/>
      <c r="I179" s="7"/>
      <c r="J179"/>
      <c r="K179"/>
      <c r="L179"/>
    </row>
    <row r="180" spans="1:12" ht="15">
      <c r="A180" s="12" t="s">
        <v>1181</v>
      </c>
      <c r="B180" s="290"/>
      <c r="C180" s="290"/>
      <c r="D180" s="290"/>
      <c r="E180" s="290"/>
      <c r="F180" s="290"/>
      <c r="G180" s="290"/>
      <c r="H180" s="290"/>
      <c r="I180" s="7"/>
      <c r="J180"/>
      <c r="K180"/>
      <c r="L180"/>
    </row>
    <row r="181" spans="1:12" ht="15">
      <c r="A181" s="8" t="s">
        <v>1178</v>
      </c>
      <c r="B181" s="266">
        <f>VLOOKUP(Vlookup!$B140,'CDCM Volume Forecasts'!$A$28:$AL$136,B$143,FALSE)</f>
        <v>2.2038402354910721E-2</v>
      </c>
      <c r="C181" s="266">
        <f>VLOOKUP(Vlookup!$B140,'CDCM Volume Forecasts'!$A$28:$AL$136,C$143,FALSE)</f>
        <v>5.6003186010638299E-2</v>
      </c>
      <c r="D181" s="266">
        <f>VLOOKUP(Vlookup!$B140,'CDCM Volume Forecasts'!$A$28:$AL$136,D$143,FALSE)</f>
        <v>5.28921656517857E-2</v>
      </c>
      <c r="E181" s="266">
        <f>VLOOKUP(Vlookup!$B140,'CDCM Volume Forecasts'!$A$28:$AL$136,E$143,FALSE)</f>
        <v>8.4931506849315067E-2</v>
      </c>
      <c r="F181" s="292"/>
      <c r="G181" s="292"/>
      <c r="H181" s="292"/>
      <c r="I181" s="7"/>
      <c r="J181"/>
      <c r="K181"/>
      <c r="L181"/>
    </row>
    <row r="182" spans="1:12" ht="15">
      <c r="A182" s="8" t="s">
        <v>1175</v>
      </c>
      <c r="B182" s="266">
        <f>VLOOKUP(Vlookup!$B141,'CDCM Volume Forecasts'!$A$28:$AL$136,B$143,FALSE)</f>
        <v>0</v>
      </c>
      <c r="C182" s="266">
        <f>VLOOKUP(Vlookup!$B141,'CDCM Volume Forecasts'!$A$28:$AL$136,C$143,FALSE)</f>
        <v>0</v>
      </c>
      <c r="D182" s="266">
        <f>VLOOKUP(Vlookup!$B141,'CDCM Volume Forecasts'!$A$28:$AL$136,D$143,FALSE)</f>
        <v>0</v>
      </c>
      <c r="E182" s="266">
        <f>VLOOKUP(Vlookup!$B141,'CDCM Volume Forecasts'!$A$28:$AL$136,E$143,FALSE)</f>
        <v>0</v>
      </c>
      <c r="F182" s="292"/>
      <c r="G182" s="292"/>
      <c r="H182" s="292"/>
      <c r="I182" s="7"/>
      <c r="J182"/>
      <c r="K182"/>
      <c r="L182"/>
    </row>
    <row r="183" spans="1:12" ht="15">
      <c r="A183" s="8" t="s">
        <v>1172</v>
      </c>
      <c r="B183" s="266">
        <f>VLOOKUP(Vlookup!$B142,'CDCM Volume Forecasts'!$A$28:$AL$136,B$143,FALSE)</f>
        <v>0</v>
      </c>
      <c r="C183" s="266">
        <f>VLOOKUP(Vlookup!$B142,'CDCM Volume Forecasts'!$A$28:$AL$136,C$143,FALSE)</f>
        <v>0</v>
      </c>
      <c r="D183" s="266">
        <f>VLOOKUP(Vlookup!$B142,'CDCM Volume Forecasts'!$A$28:$AL$136,D$143,FALSE)</f>
        <v>0</v>
      </c>
      <c r="E183" s="266">
        <f>VLOOKUP(Vlookup!$B142,'CDCM Volume Forecasts'!$A$28:$AL$136,E$143,FALSE)</f>
        <v>0</v>
      </c>
      <c r="F183" s="292"/>
      <c r="G183" s="292"/>
      <c r="H183" s="292"/>
      <c r="I183" s="7"/>
      <c r="J183"/>
      <c r="K183"/>
      <c r="L183"/>
    </row>
    <row r="184" spans="1:12" ht="15">
      <c r="A184" s="12" t="s">
        <v>1180</v>
      </c>
      <c r="B184" s="290"/>
      <c r="C184" s="290"/>
      <c r="D184" s="290"/>
      <c r="E184" s="290"/>
      <c r="F184" s="290"/>
      <c r="G184" s="290"/>
      <c r="H184" s="290"/>
      <c r="I184" s="7"/>
      <c r="J184"/>
      <c r="K184"/>
      <c r="L184"/>
    </row>
    <row r="185" spans="1:12" ht="15">
      <c r="A185" s="8" t="s">
        <v>1177</v>
      </c>
      <c r="B185" s="266">
        <f>VLOOKUP(Vlookup!$B144,'CDCM Volume Forecasts'!$A$28:$AL$136,B$143,FALSE)</f>
        <v>26809.776329036184</v>
      </c>
      <c r="C185" s="266">
        <f>VLOOKUP(Vlookup!$B144,'CDCM Volume Forecasts'!$A$28:$AL$136,C$143,FALSE)</f>
        <v>198363.7566935535</v>
      </c>
      <c r="D185" s="266">
        <f>VLOOKUP(Vlookup!$B144,'CDCM Volume Forecasts'!$A$28:$AL$136,D$143,FALSE)</f>
        <v>187790.92736802268</v>
      </c>
      <c r="E185" s="266">
        <f>VLOOKUP(Vlookup!$B144,'CDCM Volume Forecasts'!$A$28:$AL$136,E$143,FALSE)</f>
        <v>6133.3604116966899</v>
      </c>
      <c r="F185" s="292"/>
      <c r="G185" s="292"/>
      <c r="H185" s="292"/>
      <c r="I185" s="7"/>
      <c r="J185"/>
      <c r="K185"/>
      <c r="L185"/>
    </row>
    <row r="186" spans="1:12" ht="15">
      <c r="A186" s="8" t="s">
        <v>1174</v>
      </c>
      <c r="B186" s="266">
        <f>VLOOKUP(Vlookup!$B145,'CDCM Volume Forecasts'!$A$28:$AL$136,B$143,FALSE)</f>
        <v>3.3157410088189661</v>
      </c>
      <c r="C186" s="266">
        <f>VLOOKUP(Vlookup!$B145,'CDCM Volume Forecasts'!$A$28:$AL$136,C$143,FALSE)</f>
        <v>24.610477729189657</v>
      </c>
      <c r="D186" s="266">
        <f>VLOOKUP(Vlookup!$B145,'CDCM Volume Forecasts'!$A$28:$AL$136,D$143,FALSE)</f>
        <v>26.227817446189661</v>
      </c>
      <c r="E186" s="266">
        <f>VLOOKUP(Vlookup!$B145,'CDCM Volume Forecasts'!$A$28:$AL$136,E$143,FALSE)</f>
        <v>1.1300991921225449</v>
      </c>
      <c r="F186" s="292"/>
      <c r="G186" s="292"/>
      <c r="H186" s="292"/>
      <c r="I186" s="7"/>
      <c r="J186"/>
      <c r="K186"/>
      <c r="L186"/>
    </row>
    <row r="187" spans="1:12" ht="15">
      <c r="A187" s="8" t="s">
        <v>1171</v>
      </c>
      <c r="B187" s="266">
        <f>VLOOKUP(Vlookup!$B146,'CDCM Volume Forecasts'!$A$28:$AL$136,B$143,FALSE)</f>
        <v>208.85522710830037</v>
      </c>
      <c r="C187" s="266">
        <f>VLOOKUP(Vlookup!$B146,'CDCM Volume Forecasts'!$A$28:$AL$136,C$143,FALSE)</f>
        <v>1439.9688025914054</v>
      </c>
      <c r="D187" s="266">
        <f>VLOOKUP(Vlookup!$B146,'CDCM Volume Forecasts'!$A$28:$AL$136,D$143,FALSE)</f>
        <v>1182.4128410746812</v>
      </c>
      <c r="E187" s="266">
        <f>VLOOKUP(Vlookup!$B146,'CDCM Volume Forecasts'!$A$28:$AL$136,E$143,FALSE)</f>
        <v>39.906605458800122</v>
      </c>
      <c r="F187" s="292"/>
      <c r="G187" s="292"/>
      <c r="H187" s="292"/>
      <c r="I187" s="7"/>
      <c r="J187"/>
      <c r="K187"/>
      <c r="L187"/>
    </row>
    <row r="188" spans="1:12" ht="15">
      <c r="A188" s="12" t="s">
        <v>131</v>
      </c>
      <c r="B188" s="290"/>
      <c r="C188" s="290"/>
      <c r="D188" s="290"/>
      <c r="E188" s="290"/>
      <c r="F188" s="290"/>
      <c r="G188" s="290"/>
      <c r="H188" s="290"/>
      <c r="I188" s="7"/>
      <c r="J188"/>
      <c r="K188"/>
      <c r="L188"/>
    </row>
    <row r="189" spans="1:12" ht="15">
      <c r="A189" s="8" t="s">
        <v>60</v>
      </c>
      <c r="B189" s="266">
        <f>VLOOKUP(Vlookup!$B148,'CDCM Volume Forecasts'!$A$28:$AL$136,B$143,FALSE)</f>
        <v>86224.938174458686</v>
      </c>
      <c r="C189" s="266">
        <f>VLOOKUP(Vlookup!$B148,'CDCM Volume Forecasts'!$A$28:$AL$136,C$143,FALSE)</f>
        <v>626406.11625046073</v>
      </c>
      <c r="D189" s="266">
        <f>VLOOKUP(Vlookup!$B148,'CDCM Volume Forecasts'!$A$28:$AL$136,D$143,FALSE)</f>
        <v>551384.49934371735</v>
      </c>
      <c r="E189" s="266">
        <f>VLOOKUP(Vlookup!$B148,'CDCM Volume Forecasts'!$A$28:$AL$136,E$143,FALSE)</f>
        <v>6675.4921517207349</v>
      </c>
      <c r="F189" s="266">
        <f>VLOOKUP(Vlookup!$B148,'CDCM Volume Forecasts'!$A$28:$AL$136,F$143,FALSE)</f>
        <v>679119.46093167306</v>
      </c>
      <c r="G189" s="266">
        <f>VLOOKUP(Vlookup!$B148,'CDCM Volume Forecasts'!$A$28:$AL$136,G$143,FALSE)</f>
        <v>12059.509748296468</v>
      </c>
      <c r="H189" s="266">
        <f>VLOOKUP(Vlookup!$B148,'CDCM Volume Forecasts'!$A$28:$AL$136,H$143,FALSE)</f>
        <v>78582.108886907372</v>
      </c>
      <c r="I189" s="7"/>
      <c r="J189"/>
      <c r="K189"/>
      <c r="L189"/>
    </row>
    <row r="190" spans="1:12" ht="15">
      <c r="A190" s="8" t="s">
        <v>132</v>
      </c>
      <c r="B190" s="266">
        <f>VLOOKUP(Vlookup!$B149,'CDCM Volume Forecasts'!$A$28:$AL$136,B$143,FALSE)</f>
        <v>26.670196333111619</v>
      </c>
      <c r="C190" s="266">
        <f>VLOOKUP(Vlookup!$B149,'CDCM Volume Forecasts'!$A$28:$AL$136,C$143,FALSE)</f>
        <v>184.90987519400832</v>
      </c>
      <c r="D190" s="266">
        <f>VLOOKUP(Vlookup!$B149,'CDCM Volume Forecasts'!$A$28:$AL$136,D$143,FALSE)</f>
        <v>189.04909032529565</v>
      </c>
      <c r="E190" s="266">
        <f>VLOOKUP(Vlookup!$B149,'CDCM Volume Forecasts'!$A$28:$AL$136,E$143,FALSE)</f>
        <v>3.6487097119870446</v>
      </c>
      <c r="F190" s="266">
        <f>VLOOKUP(Vlookup!$B149,'CDCM Volume Forecasts'!$A$28:$AL$136,F$143,FALSE)</f>
        <v>385.20564657534248</v>
      </c>
      <c r="G190" s="266">
        <f>VLOOKUP(Vlookup!$B149,'CDCM Volume Forecasts'!$A$28:$AL$136,G$143,FALSE)</f>
        <v>0</v>
      </c>
      <c r="H190" s="266">
        <f>VLOOKUP(Vlookup!$B149,'CDCM Volume Forecasts'!$A$28:$AL$136,H$143,FALSE)</f>
        <v>38.893499255172415</v>
      </c>
      <c r="I190" s="7"/>
      <c r="J190"/>
      <c r="K190"/>
      <c r="L190"/>
    </row>
    <row r="191" spans="1:12" ht="15">
      <c r="A191" s="8" t="s">
        <v>133</v>
      </c>
      <c r="B191" s="266">
        <f>VLOOKUP(Vlookup!$B150,'CDCM Volume Forecasts'!$A$28:$AL$136,B$143,FALSE)</f>
        <v>3033.5166612945895</v>
      </c>
      <c r="C191" s="266">
        <f>VLOOKUP(Vlookup!$B150,'CDCM Volume Forecasts'!$A$28:$AL$136,C$143,FALSE)</f>
        <v>19778.444486303983</v>
      </c>
      <c r="D191" s="266">
        <f>VLOOKUP(Vlookup!$B150,'CDCM Volume Forecasts'!$A$28:$AL$136,D$143,FALSE)</f>
        <v>17104.938488611111</v>
      </c>
      <c r="E191" s="266">
        <f>VLOOKUP(Vlookup!$B150,'CDCM Volume Forecasts'!$A$28:$AL$136,E$143,FALSE)</f>
        <v>102.52944728092592</v>
      </c>
      <c r="F191" s="266">
        <f>VLOOKUP(Vlookup!$B150,'CDCM Volume Forecasts'!$A$28:$AL$136,F$143,FALSE)</f>
        <v>21251.928945205484</v>
      </c>
      <c r="G191" s="266">
        <f>VLOOKUP(Vlookup!$B150,'CDCM Volume Forecasts'!$A$28:$AL$136,G$143,FALSE)</f>
        <v>85.518659589041107</v>
      </c>
      <c r="H191" s="266">
        <f>VLOOKUP(Vlookup!$B150,'CDCM Volume Forecasts'!$A$28:$AL$136,H$143,FALSE)</f>
        <v>1726.2375684206897</v>
      </c>
      <c r="I191" s="7"/>
      <c r="J191"/>
      <c r="K191"/>
      <c r="L191"/>
    </row>
    <row r="192" spans="1:12" ht="15">
      <c r="A192" s="12" t="s">
        <v>134</v>
      </c>
      <c r="B192" s="290"/>
      <c r="C192" s="290"/>
      <c r="D192" s="290"/>
      <c r="E192" s="290"/>
      <c r="F192" s="290"/>
      <c r="G192" s="290"/>
      <c r="H192" s="290"/>
      <c r="I192" s="7"/>
      <c r="J192"/>
      <c r="K192"/>
      <c r="L192"/>
    </row>
    <row r="193" spans="1:12" ht="15">
      <c r="A193" s="8" t="s">
        <v>61</v>
      </c>
      <c r="B193" s="266">
        <f>VLOOKUP(Vlookup!$B152,'CDCM Volume Forecasts'!$A$28:$AL$136,B$143,FALSE)</f>
        <v>49864.368371854573</v>
      </c>
      <c r="C193" s="266">
        <f>VLOOKUP(Vlookup!$B152,'CDCM Volume Forecasts'!$A$28:$AL$136,C$143,FALSE)</f>
        <v>369689.81514963449</v>
      </c>
      <c r="D193" s="266">
        <f>VLOOKUP(Vlookup!$B152,'CDCM Volume Forecasts'!$A$28:$AL$136,D$143,FALSE)</f>
        <v>340515.48335188109</v>
      </c>
      <c r="E193" s="266">
        <f>VLOOKUP(Vlookup!$B152,'CDCM Volume Forecasts'!$A$28:$AL$136,E$143,FALSE)</f>
        <v>1936.9854039786185</v>
      </c>
      <c r="F193" s="266">
        <f>VLOOKUP(Vlookup!$B152,'CDCM Volume Forecasts'!$A$28:$AL$136,F$143,FALSE)</f>
        <v>364556.94204575109</v>
      </c>
      <c r="G193" s="266">
        <f>VLOOKUP(Vlookup!$B152,'CDCM Volume Forecasts'!$A$28:$AL$136,G$143,FALSE)</f>
        <v>5286.8109888675162</v>
      </c>
      <c r="H193" s="266">
        <f>VLOOKUP(Vlookup!$B152,'CDCM Volume Forecasts'!$A$28:$AL$136,H$143,FALSE)</f>
        <v>65191.59809982658</v>
      </c>
      <c r="I193" s="7"/>
      <c r="J193"/>
      <c r="K193"/>
      <c r="L193"/>
    </row>
    <row r="194" spans="1:12" ht="15">
      <c r="A194" s="8" t="s">
        <v>135</v>
      </c>
      <c r="B194" s="266">
        <f>VLOOKUP(Vlookup!$B153,'CDCM Volume Forecasts'!$A$28:$AL$136,B$143,FALSE)</f>
        <v>7.3537928980044374</v>
      </c>
      <c r="C194" s="266">
        <f>VLOOKUP(Vlookup!$B153,'CDCM Volume Forecasts'!$A$28:$AL$136,C$143,FALSE)</f>
        <v>37.820208493355103</v>
      </c>
      <c r="D194" s="266">
        <f>VLOOKUP(Vlookup!$B153,'CDCM Volume Forecasts'!$A$28:$AL$136,D$143,FALSE)</f>
        <v>52.294666737338311</v>
      </c>
      <c r="E194" s="266">
        <f>VLOOKUP(Vlookup!$B153,'CDCM Volume Forecasts'!$A$28:$AL$136,E$143,FALSE)</f>
        <v>1.1758993150684933</v>
      </c>
      <c r="F194" s="266">
        <f>VLOOKUP(Vlookup!$B153,'CDCM Volume Forecasts'!$A$28:$AL$136,F$143,FALSE)</f>
        <v>626.75433493150683</v>
      </c>
      <c r="G194" s="266">
        <f>VLOOKUP(Vlookup!$B153,'CDCM Volume Forecasts'!$A$28:$AL$136,G$143,FALSE)</f>
        <v>0</v>
      </c>
      <c r="H194" s="266">
        <f>VLOOKUP(Vlookup!$B153,'CDCM Volume Forecasts'!$A$28:$AL$136,H$143,FALSE)</f>
        <v>1.4026004999999999</v>
      </c>
      <c r="I194" s="7"/>
      <c r="J194"/>
      <c r="K194"/>
      <c r="L194"/>
    </row>
    <row r="195" spans="1:12" ht="15">
      <c r="A195" s="12" t="s">
        <v>136</v>
      </c>
      <c r="B195" s="290"/>
      <c r="C195" s="290"/>
      <c r="D195" s="290"/>
      <c r="E195" s="290"/>
      <c r="F195" s="290"/>
      <c r="G195" s="290"/>
      <c r="H195" s="290"/>
      <c r="I195" s="7"/>
      <c r="J195"/>
      <c r="K195"/>
      <c r="L195"/>
    </row>
    <row r="196" spans="1:12" ht="15">
      <c r="A196" s="8" t="s">
        <v>73</v>
      </c>
      <c r="B196" s="266">
        <f>VLOOKUP(Vlookup!$B155,'CDCM Volume Forecasts'!$A$28:$AL$136,B$143,FALSE)</f>
        <v>153504.23635739877</v>
      </c>
      <c r="C196" s="266">
        <f>VLOOKUP(Vlookup!$B155,'CDCM Volume Forecasts'!$A$28:$AL$136,C$143,FALSE)</f>
        <v>1093420.3303867856</v>
      </c>
      <c r="D196" s="266">
        <f>VLOOKUP(Vlookup!$B155,'CDCM Volume Forecasts'!$A$28:$AL$136,D$143,FALSE)</f>
        <v>1183755.4135911537</v>
      </c>
      <c r="E196" s="266">
        <f>VLOOKUP(Vlookup!$B155,'CDCM Volume Forecasts'!$A$28:$AL$136,E$143,FALSE)</f>
        <v>1060.270602740768</v>
      </c>
      <c r="F196" s="266">
        <f>VLOOKUP(Vlookup!$B155,'CDCM Volume Forecasts'!$A$28:$AL$136,F$143,FALSE)</f>
        <v>854296.8159186152</v>
      </c>
      <c r="G196" s="266">
        <f>VLOOKUP(Vlookup!$B155,'CDCM Volume Forecasts'!$A$28:$AL$136,G$143,FALSE)</f>
        <v>14165.401246932342</v>
      </c>
      <c r="H196" s="266">
        <f>VLOOKUP(Vlookup!$B155,'CDCM Volume Forecasts'!$A$28:$AL$136,H$143,FALSE)</f>
        <v>163805.20245465485</v>
      </c>
      <c r="I196" s="7"/>
      <c r="J196"/>
      <c r="K196"/>
      <c r="L196"/>
    </row>
    <row r="197" spans="1:12" ht="15">
      <c r="A197" s="8" t="s">
        <v>137</v>
      </c>
      <c r="B197" s="266">
        <f>VLOOKUP(Vlookup!$B156,'CDCM Volume Forecasts'!$A$28:$AL$136,B$143,FALSE)</f>
        <v>835.56520149345931</v>
      </c>
      <c r="C197" s="266">
        <f>VLOOKUP(Vlookup!$B156,'CDCM Volume Forecasts'!$A$28:$AL$136,C$143,FALSE)</f>
        <v>5354.5554566887531</v>
      </c>
      <c r="D197" s="266">
        <f>VLOOKUP(Vlookup!$B156,'CDCM Volume Forecasts'!$A$28:$AL$136,D$143,FALSE)</f>
        <v>7404.6287378891438</v>
      </c>
      <c r="E197" s="266">
        <f>VLOOKUP(Vlookup!$B156,'CDCM Volume Forecasts'!$A$28:$AL$136,E$143,FALSE)</f>
        <v>7.7141773972602756</v>
      </c>
      <c r="F197" s="266">
        <f>VLOOKUP(Vlookup!$B156,'CDCM Volume Forecasts'!$A$28:$AL$136,F$143,FALSE)</f>
        <v>12519.13216438356</v>
      </c>
      <c r="G197" s="266">
        <f>VLOOKUP(Vlookup!$B156,'CDCM Volume Forecasts'!$A$28:$AL$136,G$143,FALSE)</f>
        <v>0</v>
      </c>
      <c r="H197" s="266">
        <f>VLOOKUP(Vlookup!$B156,'CDCM Volume Forecasts'!$A$28:$AL$136,H$143,FALSE)</f>
        <v>256.52510143448279</v>
      </c>
      <c r="I197" s="7"/>
      <c r="J197"/>
      <c r="K197"/>
      <c r="L197"/>
    </row>
    <row r="198" spans="1:12" ht="15">
      <c r="A198" s="12" t="s">
        <v>138</v>
      </c>
      <c r="B198" s="290"/>
      <c r="C198" s="290"/>
      <c r="D198" s="290"/>
      <c r="E198" s="290"/>
      <c r="F198" s="290"/>
      <c r="G198" s="290"/>
      <c r="H198" s="290"/>
      <c r="I198" s="7"/>
      <c r="J198"/>
      <c r="K198"/>
      <c r="L198"/>
    </row>
    <row r="199" spans="1:12" ht="15">
      <c r="A199" s="8" t="s">
        <v>93</v>
      </c>
      <c r="B199" s="266">
        <f>VLOOKUP(Vlookup!$B158,'CDCM Volume Forecasts'!$A$28:$AL$136,B$143,FALSE)</f>
        <v>10121.811870412395</v>
      </c>
      <c r="C199" s="292"/>
      <c r="D199" s="292"/>
      <c r="E199" s="266">
        <f>VLOOKUP(Vlookup!$B158,'CDCM Volume Forecasts'!$A$28:$AL$136,E$143,FALSE)</f>
        <v>741</v>
      </c>
      <c r="F199" s="292"/>
      <c r="G199" s="292"/>
      <c r="H199" s="292"/>
      <c r="I199" s="7"/>
      <c r="J199"/>
      <c r="K199"/>
      <c r="L199"/>
    </row>
    <row r="200" spans="1:12" ht="15">
      <c r="A200" s="8" t="s">
        <v>139</v>
      </c>
      <c r="B200" s="266">
        <f>VLOOKUP(Vlookup!$B159,'CDCM Volume Forecasts'!$A$28:$AL$136,B$143,FALSE)</f>
        <v>136.7981201637931</v>
      </c>
      <c r="C200" s="292"/>
      <c r="D200" s="292"/>
      <c r="E200" s="266">
        <f>VLOOKUP(Vlookup!$B159,'CDCM Volume Forecasts'!$A$28:$AL$136,E$143,FALSE)</f>
        <v>0</v>
      </c>
      <c r="F200" s="292"/>
      <c r="G200" s="292"/>
      <c r="H200" s="292"/>
      <c r="I200" s="7"/>
      <c r="J200"/>
      <c r="K200"/>
      <c r="L200"/>
    </row>
    <row r="201" spans="1:12" ht="15">
      <c r="A201" s="8" t="s">
        <v>140</v>
      </c>
      <c r="B201" s="266">
        <f>VLOOKUP(Vlookup!$B160,'CDCM Volume Forecasts'!$A$28:$AL$136,B$143,FALSE)</f>
        <v>23.736825</v>
      </c>
      <c r="C201" s="292"/>
      <c r="D201" s="292"/>
      <c r="E201" s="266">
        <f>VLOOKUP(Vlookup!$B160,'CDCM Volume Forecasts'!$A$28:$AL$136,E$143,FALSE)</f>
        <v>0</v>
      </c>
      <c r="F201" s="292"/>
      <c r="G201" s="292"/>
      <c r="H201" s="292"/>
      <c r="I201" s="7"/>
      <c r="J201"/>
      <c r="K201"/>
      <c r="L201"/>
    </row>
    <row r="202" spans="1:12" ht="15">
      <c r="A202" s="12" t="s">
        <v>141</v>
      </c>
      <c r="B202" s="290"/>
      <c r="C202" s="290"/>
      <c r="D202" s="290"/>
      <c r="E202" s="290"/>
      <c r="F202" s="290"/>
      <c r="G202" s="290"/>
      <c r="H202" s="290"/>
      <c r="I202" s="7"/>
      <c r="J202"/>
      <c r="K202"/>
      <c r="L202"/>
    </row>
    <row r="203" spans="1:12" ht="15">
      <c r="A203" s="8" t="s">
        <v>94</v>
      </c>
      <c r="B203" s="266">
        <f>VLOOKUP(Vlookup!$B162,'CDCM Volume Forecasts'!$A$28:$AL$136,B$143,FALSE)</f>
        <v>7712.9716131438981</v>
      </c>
      <c r="C203" s="292"/>
      <c r="D203" s="292"/>
      <c r="E203" s="266">
        <f>VLOOKUP(Vlookup!$B162,'CDCM Volume Forecasts'!$A$28:$AL$136,E$143,FALSE)</f>
        <v>689</v>
      </c>
      <c r="F203" s="292"/>
      <c r="G203" s="292"/>
      <c r="H203" s="292"/>
      <c r="I203" s="7"/>
      <c r="J203"/>
      <c r="K203"/>
      <c r="L203"/>
    </row>
    <row r="204" spans="1:12" ht="15">
      <c r="A204" s="8" t="s">
        <v>142</v>
      </c>
      <c r="B204" s="266">
        <f>VLOOKUP(Vlookup!$B163,'CDCM Volume Forecasts'!$A$28:$AL$136,B$143,FALSE)</f>
        <v>75.667019508620697</v>
      </c>
      <c r="C204" s="292"/>
      <c r="D204" s="292"/>
      <c r="E204" s="266">
        <f>VLOOKUP(Vlookup!$B163,'CDCM Volume Forecasts'!$A$28:$AL$136,E$143,FALSE)</f>
        <v>0</v>
      </c>
      <c r="F204" s="292"/>
      <c r="G204" s="292"/>
      <c r="H204" s="292"/>
      <c r="I204" s="7"/>
      <c r="J204"/>
      <c r="K204"/>
      <c r="L204"/>
    </row>
    <row r="205" spans="1:12" ht="15">
      <c r="A205" s="8" t="s">
        <v>143</v>
      </c>
      <c r="B205" s="266">
        <f>VLOOKUP(Vlookup!$B164,'CDCM Volume Forecasts'!$A$28:$AL$136,B$143,FALSE)</f>
        <v>301.33748599137931</v>
      </c>
      <c r="C205" s="292"/>
      <c r="D205" s="292"/>
      <c r="E205" s="266">
        <f>VLOOKUP(Vlookup!$B164,'CDCM Volume Forecasts'!$A$28:$AL$136,E$143,FALSE)</f>
        <v>0</v>
      </c>
      <c r="F205" s="292"/>
      <c r="G205" s="292"/>
      <c r="H205" s="292"/>
      <c r="I205" s="7"/>
      <c r="J205"/>
      <c r="K205"/>
      <c r="L205"/>
    </row>
    <row r="206" spans="1:12" ht="15">
      <c r="A206" s="12" t="s">
        <v>144</v>
      </c>
      <c r="B206" s="290"/>
      <c r="C206" s="290"/>
      <c r="D206" s="290"/>
      <c r="E206" s="290"/>
      <c r="F206" s="290"/>
      <c r="G206" s="290"/>
      <c r="H206" s="290"/>
      <c r="I206" s="7"/>
      <c r="J206"/>
      <c r="K206"/>
      <c r="L206"/>
    </row>
    <row r="207" spans="1:12" ht="15">
      <c r="A207" s="8" t="s">
        <v>95</v>
      </c>
      <c r="B207" s="266">
        <f>VLOOKUP(Vlookup!$B166,'CDCM Volume Forecasts'!$A$28:$AL$136,B$143,FALSE)</f>
        <v>989.1872895940935</v>
      </c>
      <c r="C207" s="292"/>
      <c r="D207" s="292"/>
      <c r="E207" s="266">
        <f>VLOOKUP(Vlookup!$B166,'CDCM Volume Forecasts'!$A$28:$AL$136,E$143,FALSE)</f>
        <v>179</v>
      </c>
      <c r="F207" s="292"/>
      <c r="G207" s="292"/>
      <c r="H207" s="292"/>
      <c r="I207" s="7"/>
      <c r="J207"/>
      <c r="K207"/>
      <c r="L207"/>
    </row>
    <row r="208" spans="1:12" ht="15">
      <c r="A208" s="8" t="s">
        <v>145</v>
      </c>
      <c r="B208" s="266">
        <f>VLOOKUP(Vlookup!$B167,'CDCM Volume Forecasts'!$A$28:$AL$136,B$143,FALSE)</f>
        <v>5.1353499568965537</v>
      </c>
      <c r="C208" s="292"/>
      <c r="D208" s="292"/>
      <c r="E208" s="266">
        <f>VLOOKUP(Vlookup!$B167,'CDCM Volume Forecasts'!$A$28:$AL$136,E$143,FALSE)</f>
        <v>0</v>
      </c>
      <c r="F208" s="292"/>
      <c r="G208" s="292"/>
      <c r="H208" s="292"/>
      <c r="I208" s="7"/>
      <c r="J208"/>
      <c r="K208"/>
      <c r="L208"/>
    </row>
    <row r="209" spans="1:12" ht="15">
      <c r="A209" s="8" t="s">
        <v>146</v>
      </c>
      <c r="B209" s="266">
        <f>VLOOKUP(Vlookup!$B168,'CDCM Volume Forecasts'!$A$28:$AL$136,B$143,FALSE)</f>
        <v>2.9883946810344835</v>
      </c>
      <c r="C209" s="292"/>
      <c r="D209" s="292"/>
      <c r="E209" s="266">
        <f>VLOOKUP(Vlookup!$B168,'CDCM Volume Forecasts'!$A$28:$AL$136,E$143,FALSE)</f>
        <v>0</v>
      </c>
      <c r="F209" s="292"/>
      <c r="G209" s="292"/>
      <c r="H209" s="292"/>
      <c r="I209" s="7"/>
      <c r="J209"/>
      <c r="K209"/>
      <c r="L209"/>
    </row>
    <row r="210" spans="1:12" ht="15">
      <c r="A210" s="12" t="s">
        <v>147</v>
      </c>
      <c r="B210" s="290"/>
      <c r="C210" s="290"/>
      <c r="D210" s="290"/>
      <c r="E210" s="290"/>
      <c r="F210" s="290"/>
      <c r="G210" s="290"/>
      <c r="H210" s="290"/>
      <c r="I210" s="7"/>
      <c r="J210"/>
      <c r="K210"/>
      <c r="L210"/>
    </row>
    <row r="211" spans="1:12" ht="15">
      <c r="A211" s="8" t="s">
        <v>96</v>
      </c>
      <c r="B211" s="266">
        <f>VLOOKUP(Vlookup!$B170,'CDCM Volume Forecasts'!$A$28:$AL$136,B$143,FALSE)</f>
        <v>0</v>
      </c>
      <c r="C211" s="292"/>
      <c r="D211" s="292"/>
      <c r="E211" s="266">
        <f>VLOOKUP(Vlookup!$B170,'CDCM Volume Forecasts'!$A$28:$AL$136,E$143,FALSE)</f>
        <v>1</v>
      </c>
      <c r="F211" s="292"/>
      <c r="G211" s="292"/>
      <c r="H211" s="292"/>
      <c r="I211" s="7"/>
      <c r="J211"/>
      <c r="K211"/>
      <c r="L211"/>
    </row>
    <row r="212" spans="1:12" ht="15">
      <c r="A212" s="8" t="s">
        <v>148</v>
      </c>
      <c r="B212" s="266">
        <f>VLOOKUP(Vlookup!$B171,'CDCM Volume Forecasts'!$A$28:$AL$136,B$143,FALSE)</f>
        <v>0</v>
      </c>
      <c r="C212" s="292"/>
      <c r="D212" s="292"/>
      <c r="E212" s="266">
        <f>VLOOKUP(Vlookup!$B171,'CDCM Volume Forecasts'!$A$28:$AL$136,E$143,FALSE)</f>
        <v>0</v>
      </c>
      <c r="F212" s="292"/>
      <c r="G212" s="292"/>
      <c r="H212" s="292"/>
      <c r="I212" s="7"/>
      <c r="J212"/>
      <c r="K212"/>
      <c r="L212"/>
    </row>
    <row r="213" spans="1:12" ht="15">
      <c r="A213" s="8" t="s">
        <v>149</v>
      </c>
      <c r="B213" s="266">
        <f>VLOOKUP(Vlookup!$B172,'CDCM Volume Forecasts'!$A$28:$AL$136,B$143,FALSE)</f>
        <v>0</v>
      </c>
      <c r="C213" s="292"/>
      <c r="D213" s="292"/>
      <c r="E213" s="266">
        <f>VLOOKUP(Vlookup!$B172,'CDCM Volume Forecasts'!$A$28:$AL$136,E$143,FALSE)</f>
        <v>0</v>
      </c>
      <c r="F213" s="292"/>
      <c r="G213" s="292"/>
      <c r="H213" s="292"/>
      <c r="I213" s="7"/>
      <c r="J213"/>
      <c r="K213"/>
      <c r="L213"/>
    </row>
    <row r="214" spans="1:12" ht="15">
      <c r="A214" s="12" t="s">
        <v>150</v>
      </c>
      <c r="B214" s="290"/>
      <c r="C214" s="290"/>
      <c r="D214" s="290"/>
      <c r="E214" s="290"/>
      <c r="F214" s="290"/>
      <c r="G214" s="290"/>
      <c r="H214" s="290"/>
      <c r="I214" s="7"/>
      <c r="J214"/>
      <c r="K214"/>
      <c r="L214"/>
    </row>
    <row r="215" spans="1:12" ht="15">
      <c r="A215" s="8" t="s">
        <v>97</v>
      </c>
      <c r="B215" s="266">
        <f>VLOOKUP(Vlookup!$B174,'CDCM Volume Forecasts'!$A$28:$AL$136,B$143,FALSE)</f>
        <v>4105.9859496450399</v>
      </c>
      <c r="C215" s="266">
        <f>VLOOKUP(Vlookup!$B174,'CDCM Volume Forecasts'!$A$28:$AL$136,C$143,FALSE)</f>
        <v>29544.034960210251</v>
      </c>
      <c r="D215" s="266">
        <f>VLOOKUP(Vlookup!$B174,'CDCM Volume Forecasts'!$A$28:$AL$136,D$143,FALSE)</f>
        <v>79785.804627936566</v>
      </c>
      <c r="E215" s="266">
        <f>VLOOKUP(Vlookup!$B174,'CDCM Volume Forecasts'!$A$28:$AL$136,E$143,FALSE)</f>
        <v>27.444162911866147</v>
      </c>
      <c r="F215" s="292"/>
      <c r="G215" s="292"/>
      <c r="H215" s="292"/>
      <c r="I215" s="7"/>
      <c r="J215"/>
      <c r="K215"/>
      <c r="L215"/>
    </row>
    <row r="216" spans="1:12" ht="15">
      <c r="A216" s="8" t="s">
        <v>151</v>
      </c>
      <c r="B216" s="266">
        <f>VLOOKUP(Vlookup!$B175,'CDCM Volume Forecasts'!$A$28:$AL$136,B$143,FALSE)</f>
        <v>0</v>
      </c>
      <c r="C216" s="266">
        <f>VLOOKUP(Vlookup!$B175,'CDCM Volume Forecasts'!$A$28:$AL$136,C$143,FALSE)</f>
        <v>0</v>
      </c>
      <c r="D216" s="266">
        <f>VLOOKUP(Vlookup!$B175,'CDCM Volume Forecasts'!$A$28:$AL$136,D$143,FALSE)</f>
        <v>0</v>
      </c>
      <c r="E216" s="266">
        <f>VLOOKUP(Vlookup!$B175,'CDCM Volume Forecasts'!$A$28:$AL$136,E$143,FALSE)</f>
        <v>0</v>
      </c>
      <c r="F216" s="292"/>
      <c r="G216" s="292"/>
      <c r="H216" s="292"/>
      <c r="I216" s="7"/>
      <c r="J216"/>
      <c r="K216"/>
      <c r="L216"/>
    </row>
    <row r="217" spans="1:12" ht="15">
      <c r="A217" s="8" t="s">
        <v>152</v>
      </c>
      <c r="B217" s="266">
        <f>VLOOKUP(Vlookup!$B176,'CDCM Volume Forecasts'!$A$28:$AL$136,B$143,FALSE)</f>
        <v>1.582648648170732</v>
      </c>
      <c r="C217" s="266">
        <f>VLOOKUP(Vlookup!$B176,'CDCM Volume Forecasts'!$A$28:$AL$136,C$143,FALSE)</f>
        <v>5.703542262359643</v>
      </c>
      <c r="D217" s="266">
        <f>VLOOKUP(Vlookup!$B176,'CDCM Volume Forecasts'!$A$28:$AL$136,D$143,FALSE)</f>
        <v>35.255484612621792</v>
      </c>
      <c r="E217" s="266">
        <f>VLOOKUP(Vlookup!$B176,'CDCM Volume Forecasts'!$A$28:$AL$136,E$143,FALSE)</f>
        <v>1.1758993150684933</v>
      </c>
      <c r="F217" s="292"/>
      <c r="G217" s="292"/>
      <c r="H217" s="292"/>
      <c r="I217" s="7"/>
      <c r="J217"/>
      <c r="K217"/>
      <c r="L217"/>
    </row>
    <row r="218" spans="1:12" ht="15">
      <c r="A218" s="288" t="s">
        <v>1179</v>
      </c>
      <c r="B218" s="290"/>
      <c r="C218" s="290"/>
      <c r="D218" s="290"/>
      <c r="E218" s="290"/>
      <c r="F218" s="290"/>
      <c r="G218" s="290"/>
      <c r="H218" s="290"/>
      <c r="I218" s="7"/>
      <c r="J218"/>
      <c r="K218"/>
      <c r="L218"/>
    </row>
    <row r="219" spans="1:12" ht="15">
      <c r="A219" s="285" t="s">
        <v>1176</v>
      </c>
      <c r="B219" s="266">
        <f>VLOOKUP(Vlookup!$B178,'CDCM Volume Forecasts'!$A$28:$AL$136,B$143,FALSE)</f>
        <v>3214.7578266896548</v>
      </c>
      <c r="C219" s="292"/>
      <c r="D219" s="292"/>
      <c r="E219" s="266">
        <f>VLOOKUP(Vlookup!$B178,'CDCM Volume Forecasts'!$A$28:$AL$136,E$143,FALSE)</f>
        <v>286</v>
      </c>
      <c r="F219" s="292"/>
      <c r="G219" s="292"/>
      <c r="H219" s="292"/>
      <c r="I219" s="7"/>
      <c r="J219"/>
      <c r="K219"/>
      <c r="L219"/>
    </row>
    <row r="220" spans="1:12" ht="15">
      <c r="A220" s="285" t="s">
        <v>1173</v>
      </c>
      <c r="B220" s="266">
        <f>VLOOKUP(Vlookup!$B179,'CDCM Volume Forecasts'!$A$28:$AL$136,B$143,FALSE)</f>
        <v>132.89592165517243</v>
      </c>
      <c r="C220" s="292"/>
      <c r="D220" s="292"/>
      <c r="E220" s="266">
        <f>VLOOKUP(Vlookup!$B179,'CDCM Volume Forecasts'!$A$28:$AL$136,E$143,FALSE)</f>
        <v>0</v>
      </c>
      <c r="F220" s="292"/>
      <c r="G220" s="292"/>
      <c r="H220" s="292"/>
      <c r="I220" s="7"/>
      <c r="J220"/>
      <c r="K220"/>
      <c r="L220"/>
    </row>
    <row r="221" spans="1:12" ht="15">
      <c r="A221" s="285" t="s">
        <v>1170</v>
      </c>
      <c r="B221" s="266">
        <f>VLOOKUP(Vlookup!$B180,'CDCM Volume Forecasts'!$A$28:$AL$136,B$143,FALSE)</f>
        <v>0</v>
      </c>
      <c r="C221" s="292"/>
      <c r="D221" s="292"/>
      <c r="E221" s="266">
        <f>VLOOKUP(Vlookup!$B180,'CDCM Volume Forecasts'!$A$28:$AL$136,E$143,FALSE)</f>
        <v>0</v>
      </c>
      <c r="F221" s="292"/>
      <c r="G221" s="292"/>
      <c r="H221" s="292"/>
      <c r="I221" s="7"/>
      <c r="J221"/>
      <c r="K221"/>
      <c r="L221"/>
    </row>
    <row r="222" spans="1:12" ht="15">
      <c r="A222" s="288" t="s">
        <v>153</v>
      </c>
      <c r="B222" s="290"/>
      <c r="C222" s="290"/>
      <c r="D222" s="290"/>
      <c r="E222" s="290"/>
      <c r="F222" s="290"/>
      <c r="G222" s="290"/>
      <c r="H222" s="290"/>
      <c r="I222" s="7"/>
      <c r="J222"/>
      <c r="K222"/>
      <c r="L222"/>
    </row>
    <row r="223" spans="1:12" ht="15">
      <c r="A223" s="285" t="s">
        <v>62</v>
      </c>
      <c r="B223" s="266">
        <f>VLOOKUP(Vlookup!$B182,'CDCM Volume Forecasts'!$A$28:$AL$136,B$143,FALSE)</f>
        <v>92.074856879310332</v>
      </c>
      <c r="C223" s="292"/>
      <c r="D223" s="292"/>
      <c r="E223" s="266">
        <f>VLOOKUP(Vlookup!$B182,'CDCM Volume Forecasts'!$A$28:$AL$136,E$143,FALSE)</f>
        <v>1</v>
      </c>
      <c r="F223" s="292"/>
      <c r="G223" s="292"/>
      <c r="H223" s="292"/>
      <c r="I223" s="7"/>
      <c r="J223"/>
      <c r="K223"/>
      <c r="L223"/>
    </row>
    <row r="224" spans="1:12" ht="15">
      <c r="A224" s="285" t="s">
        <v>154</v>
      </c>
      <c r="B224" s="266">
        <f>VLOOKUP(Vlookup!$B183,'CDCM Volume Forecasts'!$A$28:$AL$136,B$143,FALSE)</f>
        <v>0</v>
      </c>
      <c r="C224" s="292"/>
      <c r="D224" s="292"/>
      <c r="E224" s="266">
        <f>VLOOKUP(Vlookup!$B183,'CDCM Volume Forecasts'!$A$28:$AL$136,E$143,FALSE)</f>
        <v>0</v>
      </c>
      <c r="F224" s="292"/>
      <c r="G224" s="292"/>
      <c r="H224" s="292"/>
      <c r="I224" s="7"/>
      <c r="J224"/>
      <c r="K224"/>
      <c r="L224"/>
    </row>
    <row r="225" spans="1:12" ht="15">
      <c r="A225" s="288" t="s">
        <v>155</v>
      </c>
      <c r="B225" s="290"/>
      <c r="C225" s="290"/>
      <c r="D225" s="290"/>
      <c r="E225" s="290"/>
      <c r="F225" s="290"/>
      <c r="G225" s="290"/>
      <c r="H225" s="290"/>
      <c r="I225" s="7"/>
      <c r="J225"/>
      <c r="K225"/>
      <c r="L225"/>
    </row>
    <row r="226" spans="1:12" ht="15">
      <c r="A226" s="285" t="s">
        <v>63</v>
      </c>
      <c r="B226" s="266">
        <f>VLOOKUP(Vlookup!$B185,'CDCM Volume Forecasts'!$A$28:$AL$136,B$143,FALSE)</f>
        <v>78529.095040948305</v>
      </c>
      <c r="C226" s="292"/>
      <c r="D226" s="292"/>
      <c r="E226" s="266">
        <f>VLOOKUP(Vlookup!$B185,'CDCM Volume Forecasts'!$A$28:$AL$136,E$143,FALSE)</f>
        <v>887.02632534246584</v>
      </c>
      <c r="F226" s="292"/>
      <c r="G226" s="292"/>
      <c r="H226" s="266">
        <f>VLOOKUP(Vlookup!$B185,'CDCM Volume Forecasts'!$A$28:$AL$136,H$143,FALSE)</f>
        <v>6221.8592215431045</v>
      </c>
      <c r="I226" s="7"/>
      <c r="J226"/>
      <c r="K226"/>
      <c r="L226"/>
    </row>
    <row r="227" spans="1:12" ht="15">
      <c r="A227" s="285" t="s">
        <v>156</v>
      </c>
      <c r="B227" s="266">
        <f>VLOOKUP(Vlookup!$B186,'CDCM Volume Forecasts'!$A$28:$AL$136,B$143,FALSE)</f>
        <v>0</v>
      </c>
      <c r="C227" s="292"/>
      <c r="D227" s="292"/>
      <c r="E227" s="266">
        <f>VLOOKUP(Vlookup!$B186,'CDCM Volume Forecasts'!$A$28:$AL$136,E$143,FALSE)</f>
        <v>0</v>
      </c>
      <c r="F227" s="292"/>
      <c r="G227" s="292"/>
      <c r="H227" s="266">
        <f>VLOOKUP(Vlookup!$B186,'CDCM Volume Forecasts'!$A$28:$AL$136,H$143,FALSE)</f>
        <v>0</v>
      </c>
      <c r="I227" s="7"/>
      <c r="J227"/>
      <c r="K227"/>
      <c r="L227"/>
    </row>
    <row r="228" spans="1:12" ht="15">
      <c r="A228" s="285" t="s">
        <v>157</v>
      </c>
      <c r="B228" s="266">
        <f>VLOOKUP(Vlookup!$B187,'CDCM Volume Forecasts'!$A$28:$AL$136,B$143,FALSE)</f>
        <v>1158.4981509517236</v>
      </c>
      <c r="C228" s="292"/>
      <c r="D228" s="292"/>
      <c r="E228" s="266">
        <f>VLOOKUP(Vlookup!$B187,'CDCM Volume Forecasts'!$A$28:$AL$136,E$143,FALSE)</f>
        <v>3.2634739726027386</v>
      </c>
      <c r="F228" s="292"/>
      <c r="G228" s="292"/>
      <c r="H228" s="266">
        <f>VLOOKUP(Vlookup!$B187,'CDCM Volume Forecasts'!$A$28:$AL$136,H$143,FALSE)</f>
        <v>14.619248242758623</v>
      </c>
      <c r="I228" s="7"/>
      <c r="J228"/>
      <c r="K228"/>
      <c r="L228"/>
    </row>
    <row r="229" spans="1:12" ht="15">
      <c r="A229" s="288" t="s">
        <v>1559</v>
      </c>
      <c r="B229" s="290"/>
      <c r="C229" s="290"/>
      <c r="D229" s="290"/>
      <c r="E229" s="290"/>
      <c r="F229" s="290"/>
      <c r="G229" s="290"/>
      <c r="H229" s="290"/>
      <c r="I229" s="7"/>
      <c r="J229"/>
      <c r="K229"/>
      <c r="L229"/>
    </row>
    <row r="230" spans="1:12" ht="15">
      <c r="A230" s="285" t="s">
        <v>1516</v>
      </c>
      <c r="B230" s="266">
        <f>VLOOKUP(Vlookup!$B189,'CDCM Volume Forecasts'!$A$28:$AL$136,B$143,FALSE)</f>
        <v>0</v>
      </c>
      <c r="C230" s="292"/>
      <c r="D230" s="292"/>
      <c r="E230" s="266">
        <f>VLOOKUP(Vlookup!$B189,'CDCM Volume Forecasts'!$A$28:$AL$136,E$143,FALSE)</f>
        <v>0</v>
      </c>
      <c r="F230" s="292"/>
      <c r="G230" s="292"/>
      <c r="H230" s="292"/>
      <c r="I230" s="7"/>
      <c r="J230"/>
      <c r="K230"/>
      <c r="L230"/>
    </row>
    <row r="231" spans="1:12" ht="15">
      <c r="A231" s="288" t="s">
        <v>158</v>
      </c>
      <c r="B231" s="290"/>
      <c r="C231" s="290"/>
      <c r="D231" s="290"/>
      <c r="E231" s="290"/>
      <c r="F231" s="290"/>
      <c r="G231" s="290"/>
      <c r="H231" s="290"/>
      <c r="I231" s="7"/>
      <c r="J231"/>
      <c r="K231"/>
      <c r="L231"/>
    </row>
    <row r="232" spans="1:12" ht="15">
      <c r="A232" s="285" t="s">
        <v>64</v>
      </c>
      <c r="B232" s="266">
        <f>VLOOKUP(Vlookup!$B191,'CDCM Volume Forecasts'!$A$28:$AL$136,B$143,FALSE)</f>
        <v>150.22435028789201</v>
      </c>
      <c r="C232" s="266">
        <f>VLOOKUP(Vlookup!$B191,'CDCM Volume Forecasts'!$A$28:$AL$136,C$143,FALSE)</f>
        <v>933.01718610068747</v>
      </c>
      <c r="D232" s="266">
        <f>VLOOKUP(Vlookup!$B191,'CDCM Volume Forecasts'!$A$28:$AL$136,D$143,FALSE)</f>
        <v>1215.9778554005959</v>
      </c>
      <c r="E232" s="266">
        <f>VLOOKUP(Vlookup!$B191,'CDCM Volume Forecasts'!$A$28:$AL$136,E$143,FALSE)</f>
        <v>16.428914383561644</v>
      </c>
      <c r="F232" s="292"/>
      <c r="G232" s="292"/>
      <c r="H232" s="266">
        <f>VLOOKUP(Vlookup!$B191,'CDCM Volume Forecasts'!$A$28:$AL$136,H$143,FALSE)</f>
        <v>631.56368132758632</v>
      </c>
      <c r="I232" s="7"/>
      <c r="J232"/>
      <c r="K232"/>
      <c r="L232"/>
    </row>
    <row r="233" spans="1:12" ht="15">
      <c r="A233" s="285" t="s">
        <v>159</v>
      </c>
      <c r="B233" s="266">
        <f>VLOOKUP(Vlookup!$B192,'CDCM Volume Forecasts'!$A$28:$AL$136,B$143,FALSE)</f>
        <v>0</v>
      </c>
      <c r="C233" s="266">
        <f>VLOOKUP(Vlookup!$B192,'CDCM Volume Forecasts'!$A$28:$AL$136,C$143,FALSE)</f>
        <v>0</v>
      </c>
      <c r="D233" s="266">
        <f>VLOOKUP(Vlookup!$B192,'CDCM Volume Forecasts'!$A$28:$AL$136,D$143,FALSE)</f>
        <v>0</v>
      </c>
      <c r="E233" s="266">
        <f>VLOOKUP(Vlookup!$B192,'CDCM Volume Forecasts'!$A$28:$AL$136,E$143,FALSE)</f>
        <v>0</v>
      </c>
      <c r="F233" s="292"/>
      <c r="G233" s="292"/>
      <c r="H233" s="266">
        <f>VLOOKUP(Vlookup!$B192,'CDCM Volume Forecasts'!$A$28:$AL$136,H$143,FALSE)</f>
        <v>0</v>
      </c>
      <c r="I233" s="7"/>
      <c r="J233"/>
      <c r="K233"/>
      <c r="L233"/>
    </row>
    <row r="234" spans="1:12" ht="15">
      <c r="A234" s="285" t="s">
        <v>160</v>
      </c>
      <c r="B234" s="266">
        <f>VLOOKUP(Vlookup!$B193,'CDCM Volume Forecasts'!$A$28:$AL$136,B$143,FALSE)</f>
        <v>0</v>
      </c>
      <c r="C234" s="266">
        <f>VLOOKUP(Vlookup!$B193,'CDCM Volume Forecasts'!$A$28:$AL$136,C$143,FALSE)</f>
        <v>0</v>
      </c>
      <c r="D234" s="266">
        <f>VLOOKUP(Vlookup!$B193,'CDCM Volume Forecasts'!$A$28:$AL$136,D$143,FALSE)</f>
        <v>0</v>
      </c>
      <c r="E234" s="266">
        <f>VLOOKUP(Vlookup!$B193,'CDCM Volume Forecasts'!$A$28:$AL$136,E$143,FALSE)</f>
        <v>0</v>
      </c>
      <c r="F234" s="292"/>
      <c r="G234" s="292"/>
      <c r="H234" s="266">
        <f>VLOOKUP(Vlookup!$B193,'CDCM Volume Forecasts'!$A$28:$AL$136,H$143,FALSE)</f>
        <v>0</v>
      </c>
      <c r="I234" s="7"/>
      <c r="J234"/>
      <c r="K234"/>
      <c r="L234"/>
    </row>
    <row r="235" spans="1:12" ht="15">
      <c r="A235" s="288" t="s">
        <v>1560</v>
      </c>
      <c r="B235" s="290"/>
      <c r="C235" s="290"/>
      <c r="D235" s="290"/>
      <c r="E235" s="290"/>
      <c r="F235" s="290"/>
      <c r="G235" s="290"/>
      <c r="H235" s="290"/>
      <c r="I235" s="7"/>
      <c r="J235"/>
      <c r="K235"/>
      <c r="L235"/>
    </row>
    <row r="236" spans="1:12" ht="15">
      <c r="A236" s="285" t="s">
        <v>1517</v>
      </c>
      <c r="B236" s="266">
        <f>VLOOKUP(Vlookup!$B195,'CDCM Volume Forecasts'!$A$28:$AL$136,B$143,FALSE)</f>
        <v>0</v>
      </c>
      <c r="C236" s="266">
        <f>VLOOKUP(Vlookup!$B195,'CDCM Volume Forecasts'!$A$28:$AL$136,C$143,FALSE)</f>
        <v>0</v>
      </c>
      <c r="D236" s="266">
        <f>VLOOKUP(Vlookup!$B195,'CDCM Volume Forecasts'!$A$28:$AL$136,D$143,FALSE)</f>
        <v>0</v>
      </c>
      <c r="E236" s="266">
        <f>VLOOKUP(Vlookup!$B195,'CDCM Volume Forecasts'!$A$28:$AL$136,E$143,FALSE)</f>
        <v>0</v>
      </c>
      <c r="F236" s="292"/>
      <c r="G236" s="292"/>
      <c r="H236" s="292"/>
      <c r="I236" s="7"/>
      <c r="J236"/>
      <c r="K236"/>
      <c r="L236"/>
    </row>
    <row r="237" spans="1:12" ht="15">
      <c r="A237" s="288" t="s">
        <v>161</v>
      </c>
      <c r="B237" s="290"/>
      <c r="C237" s="290"/>
      <c r="D237" s="290"/>
      <c r="E237" s="290"/>
      <c r="F237" s="290"/>
      <c r="G237" s="290"/>
      <c r="H237" s="290"/>
      <c r="I237" s="7"/>
      <c r="J237"/>
      <c r="K237"/>
      <c r="L237"/>
    </row>
    <row r="238" spans="1:12" ht="15">
      <c r="A238" s="285" t="s">
        <v>65</v>
      </c>
      <c r="B238" s="266">
        <f>VLOOKUP(Vlookup!$B197,'CDCM Volume Forecasts'!$A$28:$AL$136,B$143,FALSE)</f>
        <v>13040.742602439654</v>
      </c>
      <c r="C238" s="292"/>
      <c r="D238" s="292"/>
      <c r="E238" s="266">
        <f>VLOOKUP(Vlookup!$B197,'CDCM Volume Forecasts'!$A$28:$AL$136,E$143,FALSE)</f>
        <v>121.63811301369863</v>
      </c>
      <c r="F238" s="292"/>
      <c r="G238" s="292"/>
      <c r="H238" s="266">
        <f>VLOOKUP(Vlookup!$B197,'CDCM Volume Forecasts'!$A$28:$AL$136,H$143,FALSE)</f>
        <v>1632.6222186810344</v>
      </c>
      <c r="I238" s="7"/>
      <c r="J238"/>
      <c r="K238"/>
      <c r="L238"/>
    </row>
    <row r="239" spans="1:12" ht="15">
      <c r="A239" s="285" t="s">
        <v>162</v>
      </c>
      <c r="B239" s="266">
        <f>VLOOKUP(Vlookup!$B198,'CDCM Volume Forecasts'!$A$28:$AL$136,B$143,FALSE)</f>
        <v>0</v>
      </c>
      <c r="C239" s="292"/>
      <c r="D239" s="292"/>
      <c r="E239" s="266">
        <f>VLOOKUP(Vlookup!$B198,'CDCM Volume Forecasts'!$A$28:$AL$136,E$143,FALSE)</f>
        <v>0</v>
      </c>
      <c r="F239" s="292"/>
      <c r="G239" s="292"/>
      <c r="H239" s="266">
        <f>VLOOKUP(Vlookup!$B198,'CDCM Volume Forecasts'!$A$28:$AL$136,H$143,FALSE)</f>
        <v>0</v>
      </c>
      <c r="I239" s="7"/>
      <c r="J239"/>
      <c r="K239"/>
      <c r="L239"/>
    </row>
    <row r="240" spans="1:12" ht="15">
      <c r="A240" s="288" t="s">
        <v>1561</v>
      </c>
      <c r="B240" s="290"/>
      <c r="C240" s="290"/>
      <c r="D240" s="290"/>
      <c r="E240" s="290"/>
      <c r="F240" s="290"/>
      <c r="G240" s="290"/>
      <c r="H240" s="290"/>
      <c r="I240" s="7"/>
      <c r="J240"/>
      <c r="K240"/>
      <c r="L240"/>
    </row>
    <row r="241" spans="1:12" ht="15">
      <c r="A241" s="285" t="s">
        <v>1518</v>
      </c>
      <c r="B241" s="266">
        <f>VLOOKUP(Vlookup!$B200,'CDCM Volume Forecasts'!$A$28:$AL$136,B$143,FALSE)</f>
        <v>0</v>
      </c>
      <c r="C241" s="292"/>
      <c r="D241" s="292"/>
      <c r="E241" s="266">
        <f>VLOOKUP(Vlookup!$B200,'CDCM Volume Forecasts'!$A$28:$AL$136,E$143,FALSE)</f>
        <v>0</v>
      </c>
      <c r="F241" s="292"/>
      <c r="G241" s="292"/>
      <c r="H241" s="292"/>
      <c r="I241" s="7"/>
      <c r="J241"/>
      <c r="K241"/>
      <c r="L241"/>
    </row>
    <row r="242" spans="1:12" ht="15">
      <c r="A242" s="288" t="s">
        <v>163</v>
      </c>
      <c r="B242" s="290"/>
      <c r="C242" s="290"/>
      <c r="D242" s="290"/>
      <c r="E242" s="290"/>
      <c r="F242" s="290"/>
      <c r="G242" s="290"/>
      <c r="H242" s="290"/>
      <c r="I242" s="7"/>
      <c r="J242"/>
      <c r="K242"/>
      <c r="L242"/>
    </row>
    <row r="243" spans="1:12" ht="15">
      <c r="A243" s="285" t="s">
        <v>66</v>
      </c>
      <c r="B243" s="266">
        <f>VLOOKUP(Vlookup!$B202,'CDCM Volume Forecasts'!$A$28:$AL$136,B$143,FALSE)</f>
        <v>262.77834065563309</v>
      </c>
      <c r="C243" s="266">
        <f>VLOOKUP(Vlookup!$B202,'CDCM Volume Forecasts'!$A$28:$AL$136,C$143,FALSE)</f>
        <v>1416.430282521459</v>
      </c>
      <c r="D243" s="266">
        <f>VLOOKUP(Vlookup!$B202,'CDCM Volume Forecasts'!$A$28:$AL$136,D$143,FALSE)</f>
        <v>2413.7732126878327</v>
      </c>
      <c r="E243" s="266">
        <f>VLOOKUP(Vlookup!$B202,'CDCM Volume Forecasts'!$A$28:$AL$136,E$143,FALSE)</f>
        <v>12.478949999999999</v>
      </c>
      <c r="F243" s="292"/>
      <c r="G243" s="292"/>
      <c r="H243" s="266">
        <f>VLOOKUP(Vlookup!$B202,'CDCM Volume Forecasts'!$A$28:$AL$136,H$143,FALSE)</f>
        <v>606.8858033017242</v>
      </c>
      <c r="I243" s="7"/>
      <c r="J243"/>
      <c r="K243"/>
      <c r="L243"/>
    </row>
    <row r="244" spans="1:12" ht="15">
      <c r="A244" s="285" t="s">
        <v>164</v>
      </c>
      <c r="B244" s="266">
        <f>VLOOKUP(Vlookup!$B203,'CDCM Volume Forecasts'!$A$28:$AL$136,B$143,FALSE)</f>
        <v>0</v>
      </c>
      <c r="C244" s="266">
        <f>VLOOKUP(Vlookup!$B203,'CDCM Volume Forecasts'!$A$28:$AL$136,C$143,FALSE)</f>
        <v>0</v>
      </c>
      <c r="D244" s="266">
        <f>VLOOKUP(Vlookup!$B203,'CDCM Volume Forecasts'!$A$28:$AL$136,D$143,FALSE)</f>
        <v>0</v>
      </c>
      <c r="E244" s="266">
        <f>VLOOKUP(Vlookup!$B203,'CDCM Volume Forecasts'!$A$28:$AL$136,E$143,FALSE)</f>
        <v>0</v>
      </c>
      <c r="F244" s="292"/>
      <c r="G244" s="292"/>
      <c r="H244" s="266">
        <f>VLOOKUP(Vlookup!$B203,'CDCM Volume Forecasts'!$A$28:$AL$136,H$143,FALSE)</f>
        <v>0</v>
      </c>
      <c r="I244" s="7"/>
      <c r="J244"/>
      <c r="K244"/>
      <c r="L244"/>
    </row>
    <row r="245" spans="1:12" ht="15">
      <c r="A245" s="288" t="s">
        <v>1562</v>
      </c>
      <c r="B245" s="290"/>
      <c r="C245" s="290"/>
      <c r="D245" s="290"/>
      <c r="E245" s="290"/>
      <c r="F245" s="290"/>
      <c r="G245" s="290"/>
      <c r="H245" s="290"/>
      <c r="I245" s="7"/>
      <c r="J245"/>
      <c r="K245"/>
      <c r="L245"/>
    </row>
    <row r="246" spans="1:12" ht="15">
      <c r="A246" s="285" t="s">
        <v>1519</v>
      </c>
      <c r="B246" s="266">
        <f>VLOOKUP(Vlookup!$B205,'CDCM Volume Forecasts'!$A$28:$AL$136,B$143,FALSE)</f>
        <v>0</v>
      </c>
      <c r="C246" s="266">
        <f>VLOOKUP(Vlookup!$B205,'CDCM Volume Forecasts'!$A$28:$AL$136,C$143,FALSE)</f>
        <v>0</v>
      </c>
      <c r="D246" s="266">
        <f>VLOOKUP(Vlookup!$B205,'CDCM Volume Forecasts'!$A$28:$AL$136,D$143,FALSE)</f>
        <v>0</v>
      </c>
      <c r="E246" s="266">
        <f>VLOOKUP(Vlookup!$B205,'CDCM Volume Forecasts'!$A$28:$AL$136,E$143,FALSE)</f>
        <v>0</v>
      </c>
      <c r="F246" s="292"/>
      <c r="G246" s="292"/>
      <c r="H246" s="292"/>
      <c r="I246" s="7"/>
      <c r="J246"/>
      <c r="K246"/>
      <c r="L246"/>
    </row>
    <row r="247" spans="1:12" ht="15">
      <c r="A247" s="288" t="s">
        <v>165</v>
      </c>
      <c r="B247" s="290"/>
      <c r="C247" s="290"/>
      <c r="D247" s="290"/>
      <c r="E247" s="290"/>
      <c r="F247" s="290"/>
      <c r="G247" s="290"/>
      <c r="H247" s="290"/>
      <c r="I247" s="7"/>
      <c r="J247"/>
      <c r="K247"/>
      <c r="L247"/>
    </row>
    <row r="248" spans="1:12" ht="15">
      <c r="A248" s="285" t="s">
        <v>74</v>
      </c>
      <c r="B248" s="266">
        <f>VLOOKUP(Vlookup!$B207,'CDCM Volume Forecasts'!$A$28:$AL$136,B$143,FALSE)</f>
        <v>408798.58803053456</v>
      </c>
      <c r="C248" s="292"/>
      <c r="D248" s="292"/>
      <c r="E248" s="266">
        <f>VLOOKUP(Vlookup!$B207,'CDCM Volume Forecasts'!$A$28:$AL$136,E$143,FALSE)</f>
        <v>237.99717534246571</v>
      </c>
      <c r="F248" s="292"/>
      <c r="G248" s="292"/>
      <c r="H248" s="266">
        <f>VLOOKUP(Vlookup!$B207,'CDCM Volume Forecasts'!$A$28:$AL$136,H$143,FALSE)</f>
        <v>3870.4537602500009</v>
      </c>
      <c r="I248" s="7"/>
      <c r="J248"/>
      <c r="K248"/>
      <c r="L248"/>
    </row>
    <row r="249" spans="1:12" ht="15">
      <c r="A249" s="285" t="s">
        <v>166</v>
      </c>
      <c r="B249" s="266">
        <f>VLOOKUP(Vlookup!$B208,'CDCM Volume Forecasts'!$A$28:$AL$136,B$143,FALSE)</f>
        <v>28.965318951724136</v>
      </c>
      <c r="C249" s="292"/>
      <c r="D249" s="292"/>
      <c r="E249" s="266">
        <f>VLOOKUP(Vlookup!$B208,'CDCM Volume Forecasts'!$A$28:$AL$136,E$143,FALSE)</f>
        <v>1.9710246575342465</v>
      </c>
      <c r="F249" s="292"/>
      <c r="G249" s="292"/>
      <c r="H249" s="266">
        <f>VLOOKUP(Vlookup!$B208,'CDCM Volume Forecasts'!$A$28:$AL$136,H$143,FALSE)</f>
        <v>0</v>
      </c>
      <c r="I249" s="7"/>
      <c r="J249"/>
      <c r="K249"/>
      <c r="L249"/>
    </row>
    <row r="250" spans="1:12" ht="15">
      <c r="A250" s="288" t="s">
        <v>1563</v>
      </c>
      <c r="B250" s="290"/>
      <c r="C250" s="290"/>
      <c r="D250" s="290"/>
      <c r="E250" s="290"/>
      <c r="F250" s="290"/>
      <c r="G250" s="290"/>
      <c r="H250" s="290"/>
      <c r="I250" s="7"/>
      <c r="J250"/>
      <c r="K250"/>
      <c r="L250"/>
    </row>
    <row r="251" spans="1:12" ht="15">
      <c r="A251" s="285" t="s">
        <v>1520</v>
      </c>
      <c r="B251" s="266">
        <f>VLOOKUP(Vlookup!$B210,'CDCM Volume Forecasts'!$A$28:$AL$136,B$143,FALSE)</f>
        <v>0</v>
      </c>
      <c r="C251" s="292"/>
      <c r="D251" s="292"/>
      <c r="E251" s="266">
        <f>VLOOKUP(Vlookup!$B210,'CDCM Volume Forecasts'!$A$28:$AL$136,E$143,FALSE)</f>
        <v>0</v>
      </c>
      <c r="F251" s="292"/>
      <c r="G251" s="292"/>
      <c r="H251" s="292"/>
      <c r="I251" s="7"/>
      <c r="J251"/>
      <c r="K251"/>
      <c r="L251"/>
    </row>
    <row r="252" spans="1:12" ht="15">
      <c r="A252" s="288" t="s">
        <v>167</v>
      </c>
      <c r="B252" s="290"/>
      <c r="C252" s="290"/>
      <c r="D252" s="290"/>
      <c r="E252" s="290"/>
      <c r="F252" s="290"/>
      <c r="G252" s="290"/>
      <c r="H252" s="290"/>
      <c r="I252" s="7"/>
      <c r="J252"/>
      <c r="K252"/>
      <c r="L252"/>
    </row>
    <row r="253" spans="1:12" ht="15">
      <c r="A253" s="285" t="s">
        <v>75</v>
      </c>
      <c r="B253" s="266">
        <f>VLOOKUP(Vlookup!$B212,'CDCM Volume Forecasts'!$A$28:$AL$136,B$143,FALSE)</f>
        <v>18175.24295154327</v>
      </c>
      <c r="C253" s="266">
        <f>VLOOKUP(Vlookup!$B212,'CDCM Volume Forecasts'!$A$28:$AL$136,C$143,FALSE)</f>
        <v>96563.406957456726</v>
      </c>
      <c r="D253" s="266">
        <f>VLOOKUP(Vlookup!$B212,'CDCM Volume Forecasts'!$A$28:$AL$136,D$143,FALSE)</f>
        <v>133398.79562824525</v>
      </c>
      <c r="E253" s="266">
        <f>VLOOKUP(Vlookup!$B212,'CDCM Volume Forecasts'!$A$28:$AL$136,E$143,FALSE)</f>
        <v>70.943264383561655</v>
      </c>
      <c r="F253" s="292"/>
      <c r="G253" s="292"/>
      <c r="H253" s="266">
        <f>VLOOKUP(Vlookup!$B212,'CDCM Volume Forecasts'!$A$28:$AL$136,H$143,FALSE)</f>
        <v>2452.5003561982758</v>
      </c>
      <c r="I253" s="7"/>
      <c r="J253"/>
      <c r="K253"/>
      <c r="L253"/>
    </row>
    <row r="254" spans="1:12" ht="15">
      <c r="A254" s="285" t="s">
        <v>168</v>
      </c>
      <c r="B254" s="266">
        <f>VLOOKUP(Vlookup!$B213,'CDCM Volume Forecasts'!$A$28:$AL$136,B$143,FALSE)</f>
        <v>6.9664922394678516E-2</v>
      </c>
      <c r="C254" s="266">
        <f>VLOOKUP(Vlookup!$B213,'CDCM Volume Forecasts'!$A$28:$AL$136,C$143,FALSE)</f>
        <v>0.88856101305223611</v>
      </c>
      <c r="D254" s="266">
        <f>VLOOKUP(Vlookup!$B213,'CDCM Volume Forecasts'!$A$28:$AL$136,D$143,FALSE)</f>
        <v>2.9569237396821908</v>
      </c>
      <c r="E254" s="266">
        <f>VLOOKUP(Vlookup!$B213,'CDCM Volume Forecasts'!$A$28:$AL$136,E$143,FALSE)</f>
        <v>1.3382136986301367</v>
      </c>
      <c r="F254" s="292"/>
      <c r="G254" s="292"/>
      <c r="H254" s="266">
        <f>VLOOKUP(Vlookup!$B213,'CDCM Volume Forecasts'!$A$28:$AL$136,H$143,FALSE)</f>
        <v>0.9497207172413793</v>
      </c>
      <c r="I254" s="7"/>
      <c r="J254"/>
      <c r="K254"/>
      <c r="L254"/>
    </row>
    <row r="255" spans="1:12" ht="15">
      <c r="A255" s="288" t="s">
        <v>1564</v>
      </c>
      <c r="B255" s="290"/>
      <c r="C255" s="290"/>
      <c r="D255" s="290"/>
      <c r="E255" s="290"/>
      <c r="F255" s="290"/>
      <c r="G255" s="290"/>
      <c r="H255" s="290"/>
      <c r="I255" s="7"/>
      <c r="J255"/>
      <c r="K255"/>
      <c r="L255"/>
    </row>
    <row r="256" spans="1:12" ht="15">
      <c r="A256" s="285" t="s">
        <v>1521</v>
      </c>
      <c r="B256" s="266">
        <f>VLOOKUP(Vlookup!$B215,'CDCM Volume Forecasts'!$A$28:$AL$136,B$143,FALSE)</f>
        <v>0</v>
      </c>
      <c r="C256" s="266">
        <f>VLOOKUP(Vlookup!$B215,'CDCM Volume Forecasts'!$A$28:$AL$136,C$143,FALSE)</f>
        <v>0</v>
      </c>
      <c r="D256" s="266">
        <f>VLOOKUP(Vlookup!$B215,'CDCM Volume Forecasts'!$A$28:$AL$136,D$143,FALSE)</f>
        <v>0</v>
      </c>
      <c r="E256" s="266">
        <f>VLOOKUP(Vlookup!$B215,'CDCM Volume Forecasts'!$A$28:$AL$136,E$143,FALSE)</f>
        <v>0</v>
      </c>
      <c r="F256" s="292"/>
      <c r="G256" s="292"/>
      <c r="H256" s="292"/>
      <c r="I256" s="7"/>
      <c r="J256"/>
      <c r="K256"/>
      <c r="L256"/>
    </row>
    <row r="257" spans="1:11" ht="15">
      <c r="A257"/>
      <c r="B257"/>
      <c r="C257"/>
      <c r="D257"/>
      <c r="E257"/>
      <c r="F257"/>
      <c r="G257"/>
      <c r="H257"/>
      <c r="I257"/>
      <c r="J257"/>
      <c r="K257"/>
    </row>
    <row r="258" spans="1:11" ht="19.5">
      <c r="A258" s="1" t="s">
        <v>169</v>
      </c>
      <c r="B258"/>
      <c r="C258"/>
      <c r="D258"/>
      <c r="E258"/>
      <c r="F258"/>
      <c r="G258"/>
      <c r="H258"/>
      <c r="I258"/>
      <c r="J258"/>
      <c r="K258"/>
    </row>
    <row r="259" spans="1:11" ht="15">
      <c r="A259" s="2" t="s">
        <v>224</v>
      </c>
      <c r="B259"/>
      <c r="C259"/>
      <c r="D259"/>
      <c r="E259"/>
      <c r="F259"/>
      <c r="G259"/>
      <c r="H259"/>
      <c r="I259"/>
      <c r="J259"/>
      <c r="K259"/>
    </row>
    <row r="260" spans="1:11" ht="15">
      <c r="A260" t="s">
        <v>99</v>
      </c>
      <c r="B260"/>
      <c r="C260"/>
      <c r="D260"/>
      <c r="E260"/>
      <c r="F260"/>
      <c r="G260"/>
      <c r="H260"/>
      <c r="I260"/>
      <c r="J260"/>
      <c r="K260"/>
    </row>
    <row r="261" spans="1:11" ht="30">
      <c r="A261"/>
      <c r="B261" s="3" t="s">
        <v>170</v>
      </c>
      <c r="C261"/>
      <c r="D261"/>
      <c r="E261"/>
      <c r="F261"/>
      <c r="G261"/>
      <c r="H261"/>
      <c r="I261"/>
      <c r="J261"/>
      <c r="K261"/>
    </row>
    <row r="262" spans="1:11" ht="15">
      <c r="A262" s="8" t="s">
        <v>171</v>
      </c>
      <c r="B262" s="10">
        <f>VLOOKUP(Vlookup!B221,'CDCM Forecast Data'!$A$14:$I$271,6,FALSE)</f>
        <v>9263214.2317964789</v>
      </c>
      <c r="C262" s="7" t="s">
        <v>224</v>
      </c>
      <c r="D262"/>
      <c r="E262"/>
      <c r="F262"/>
      <c r="G262"/>
      <c r="H262"/>
      <c r="I262"/>
      <c r="J262"/>
      <c r="K262"/>
    </row>
    <row r="263" spans="1:11" ht="15">
      <c r="A263"/>
      <c r="B263"/>
      <c r="C263"/>
      <c r="D263"/>
      <c r="E263"/>
      <c r="F263"/>
      <c r="G263"/>
      <c r="H263"/>
      <c r="I263"/>
      <c r="J263"/>
      <c r="K263"/>
    </row>
    <row r="264" spans="1:11" ht="19.5">
      <c r="A264" s="1" t="s">
        <v>172</v>
      </c>
      <c r="B264"/>
      <c r="C264"/>
      <c r="D264"/>
      <c r="E264"/>
      <c r="F264"/>
      <c r="G264"/>
      <c r="H264"/>
      <c r="I264"/>
      <c r="J264"/>
      <c r="K264"/>
    </row>
    <row r="265" spans="1:11" ht="15">
      <c r="A265" t="s">
        <v>224</v>
      </c>
      <c r="B265"/>
      <c r="C265"/>
      <c r="D265"/>
      <c r="E265"/>
      <c r="F265"/>
      <c r="G265"/>
      <c r="H265"/>
      <c r="I265"/>
      <c r="J265"/>
      <c r="K265"/>
    </row>
    <row r="266" spans="1:11" ht="30">
      <c r="A266"/>
      <c r="B266" s="3" t="s">
        <v>173</v>
      </c>
      <c r="C266" s="3" t="s">
        <v>174</v>
      </c>
      <c r="D266" s="3" t="s">
        <v>175</v>
      </c>
      <c r="E266" s="3" t="s">
        <v>176</v>
      </c>
      <c r="F266"/>
      <c r="G266"/>
      <c r="H266"/>
      <c r="I266"/>
      <c r="J266"/>
      <c r="K266"/>
    </row>
    <row r="267" spans="1:11" ht="15">
      <c r="A267" s="8" t="s">
        <v>177</v>
      </c>
      <c r="B267" s="10">
        <f>VLOOKUP(Vlookup!B226,'CDCM Forecast Data'!$A$14:$I$271,6,FALSE)</f>
        <v>34765698.188409522</v>
      </c>
      <c r="C267" s="10">
        <f>VLOOKUP(Vlookup!C226,'CDCM Forecast Data'!$A$14:$I$271,6,FALSE)</f>
        <v>103968549.31931564</v>
      </c>
      <c r="D267" s="11">
        <f>VLOOKUP(Vlookup!D226,'CDCM Forecast Data'!$A$14:$I$271,6,FALSE)</f>
        <v>0.6</v>
      </c>
      <c r="E267" s="10">
        <f>VLOOKUP(Vlookup!E226,'CDCM Forecast Data'!$A$14:$I$271,6,FALSE)</f>
        <v>20157440</v>
      </c>
      <c r="F267" s="7" t="s">
        <v>224</v>
      </c>
      <c r="G267"/>
      <c r="H267"/>
      <c r="I267"/>
      <c r="J267"/>
      <c r="K267"/>
    </row>
    <row r="268" spans="1:11" ht="15">
      <c r="A268"/>
      <c r="B268"/>
      <c r="C268"/>
      <c r="D268"/>
      <c r="E268"/>
      <c r="F268"/>
      <c r="G268"/>
      <c r="H268"/>
      <c r="I268"/>
      <c r="J268"/>
      <c r="K268"/>
    </row>
    <row r="269" spans="1:11" ht="19.5">
      <c r="A269" s="1" t="s">
        <v>178</v>
      </c>
      <c r="B269"/>
      <c r="C269"/>
      <c r="D269"/>
      <c r="E269"/>
      <c r="F269"/>
      <c r="G269"/>
      <c r="H269"/>
      <c r="I269"/>
      <c r="J269"/>
      <c r="K269"/>
    </row>
    <row r="270" spans="1:11" ht="15">
      <c r="A270" s="2"/>
      <c r="B270"/>
      <c r="C270"/>
      <c r="D270"/>
      <c r="E270"/>
      <c r="F270"/>
      <c r="G270"/>
      <c r="H270"/>
      <c r="I270"/>
      <c r="J270"/>
      <c r="K270"/>
    </row>
    <row r="271" spans="1:11" ht="15">
      <c r="A271" s="2" t="s">
        <v>179</v>
      </c>
      <c r="B271"/>
      <c r="C271"/>
      <c r="D271"/>
      <c r="E271"/>
      <c r="F271"/>
      <c r="G271"/>
      <c r="H271"/>
      <c r="I271"/>
      <c r="J271"/>
      <c r="K271"/>
    </row>
    <row r="272" spans="1:11" ht="15">
      <c r="A272" s="2" t="s">
        <v>180</v>
      </c>
      <c r="B272"/>
      <c r="C272"/>
      <c r="D272"/>
      <c r="E272"/>
      <c r="F272"/>
      <c r="G272"/>
      <c r="H272"/>
      <c r="I272"/>
      <c r="J272"/>
      <c r="K272"/>
    </row>
    <row r="273" spans="1:11" ht="15">
      <c r="A273" t="s">
        <v>181</v>
      </c>
      <c r="B273"/>
      <c r="C273"/>
      <c r="D273"/>
      <c r="E273"/>
      <c r="F273"/>
      <c r="G273"/>
      <c r="H273"/>
      <c r="I273"/>
      <c r="J273"/>
      <c r="K273"/>
    </row>
    <row r="274" spans="1:11" ht="30">
      <c r="A274"/>
      <c r="B274" s="3" t="s">
        <v>182</v>
      </c>
      <c r="C274" s="3" t="s">
        <v>183</v>
      </c>
      <c r="D274" s="3" t="s">
        <v>184</v>
      </c>
      <c r="E274" s="3" t="s">
        <v>185</v>
      </c>
      <c r="F274" s="3" t="s">
        <v>186</v>
      </c>
      <c r="G274" s="3" t="s">
        <v>187</v>
      </c>
      <c r="H274" s="3" t="s">
        <v>188</v>
      </c>
      <c r="I274" s="3" t="s">
        <v>189</v>
      </c>
      <c r="J274"/>
      <c r="K274"/>
    </row>
    <row r="275" spans="1:11" ht="15">
      <c r="A275" s="8" t="s">
        <v>190</v>
      </c>
      <c r="B275" s="11">
        <f>VLOOKUP(Vlookup!B234,'CDCM Forecast Data'!$A$14:$I$271,6,FALSE)</f>
        <v>0</v>
      </c>
      <c r="C275" s="11">
        <f>VLOOKUP(Vlookup!C234,'CDCM Forecast Data'!$A$14:$I$271,6,FALSE)</f>
        <v>0</v>
      </c>
      <c r="D275" s="11">
        <f>VLOOKUP(Vlookup!D234,'CDCM Forecast Data'!$A$14:$I$271,6,FALSE)</f>
        <v>0</v>
      </c>
      <c r="E275" s="11">
        <f>VLOOKUP(Vlookup!E234,'CDCM Forecast Data'!$A$14:$I$271,6,FALSE)</f>
        <v>0.81</v>
      </c>
      <c r="F275" s="11">
        <f>VLOOKUP(Vlookup!F234,'CDCM Forecast Data'!$A$14:$I$271,6,FALSE)</f>
        <v>0</v>
      </c>
      <c r="G275" s="11">
        <f>VLOOKUP(Vlookup!G234,'CDCM Forecast Data'!$A$14:$I$271,6,FALSE)</f>
        <v>0.81</v>
      </c>
      <c r="H275" s="11">
        <f>VLOOKUP(Vlookup!H234,'CDCM Forecast Data'!$A$14:$I$271,6,FALSE)</f>
        <v>0.95</v>
      </c>
      <c r="I275" s="11">
        <f>VLOOKUP(Vlookup!I234,'CDCM Forecast Data'!$A$14:$I$271,6,FALSE)</f>
        <v>0.95</v>
      </c>
      <c r="J275" s="7" t="s">
        <v>224</v>
      </c>
      <c r="K275"/>
    </row>
    <row r="276" spans="1:11" ht="15">
      <c r="A276" s="8" t="s">
        <v>191</v>
      </c>
      <c r="B276" s="11">
        <f>VLOOKUP(Vlookup!B235,'CDCM Forecast Data'!$A$14:$I$271,6,FALSE)</f>
        <v>0</v>
      </c>
      <c r="C276" s="11">
        <f>VLOOKUP(Vlookup!C235,'CDCM Forecast Data'!$A$14:$I$271,6,FALSE)</f>
        <v>0</v>
      </c>
      <c r="D276" s="11">
        <f>VLOOKUP(Vlookup!D235,'CDCM Forecast Data'!$A$14:$I$271,6,FALSE)</f>
        <v>0</v>
      </c>
      <c r="E276" s="11">
        <f>VLOOKUP(Vlookup!E235,'CDCM Forecast Data'!$A$14:$I$271,6,FALSE)</f>
        <v>0.81</v>
      </c>
      <c r="F276" s="11">
        <f>VLOOKUP(Vlookup!F235,'CDCM Forecast Data'!$A$14:$I$271,6,FALSE)</f>
        <v>0</v>
      </c>
      <c r="G276" s="11">
        <f>VLOOKUP(Vlookup!G235,'CDCM Forecast Data'!$A$14:$I$271,6,FALSE)</f>
        <v>0.81</v>
      </c>
      <c r="H276" s="11">
        <f>VLOOKUP(Vlookup!H235,'CDCM Forecast Data'!$A$14:$I$271,6,FALSE)</f>
        <v>0.95</v>
      </c>
      <c r="I276" s="6"/>
      <c r="J276" s="7" t="s">
        <v>224</v>
      </c>
      <c r="K276"/>
    </row>
    <row r="277" spans="1:11" ht="15">
      <c r="A277" s="8" t="s">
        <v>192</v>
      </c>
      <c r="B277" s="11">
        <f>VLOOKUP(Vlookup!B236,'CDCM Forecast Data'!$A$14:$I$271,6,FALSE)</f>
        <v>0</v>
      </c>
      <c r="C277" s="11">
        <f>VLOOKUP(Vlookup!C236,'CDCM Forecast Data'!$A$14:$I$271,6,FALSE)</f>
        <v>0.67</v>
      </c>
      <c r="D277" s="11">
        <f>VLOOKUP(Vlookup!D236,'CDCM Forecast Data'!$A$14:$I$271,6,FALSE)</f>
        <v>0.67</v>
      </c>
      <c r="E277" s="11">
        <f>VLOOKUP(Vlookup!E236,'CDCM Forecast Data'!$A$14:$I$271,6,FALSE)</f>
        <v>1</v>
      </c>
      <c r="F277" s="11">
        <f>VLOOKUP(Vlookup!F236,'CDCM Forecast Data'!$A$14:$I$271,6,FALSE)</f>
        <v>0</v>
      </c>
      <c r="G277" s="11">
        <f>VLOOKUP(Vlookup!G236,'CDCM Forecast Data'!$A$14:$I$271,6,FALSE)</f>
        <v>1</v>
      </c>
      <c r="H277" s="6"/>
      <c r="I277" s="6"/>
      <c r="J277" s="7" t="s">
        <v>224</v>
      </c>
      <c r="K277"/>
    </row>
    <row r="278" spans="1:11" ht="15">
      <c r="A278" s="8" t="s">
        <v>193</v>
      </c>
      <c r="B278" s="11">
        <f>VLOOKUP(Vlookup!B237,'CDCM Forecast Data'!$A$14:$I$271,6,FALSE)</f>
        <v>0</v>
      </c>
      <c r="C278" s="11">
        <f>VLOOKUP(Vlookup!C237,'CDCM Forecast Data'!$A$14:$I$271,6,FALSE)</f>
        <v>0.67</v>
      </c>
      <c r="D278" s="11">
        <f>VLOOKUP(Vlookup!D237,'CDCM Forecast Data'!$A$14:$I$271,6,FALSE)</f>
        <v>0.67</v>
      </c>
      <c r="E278" s="11">
        <f>VLOOKUP(Vlookup!E237,'CDCM Forecast Data'!$A$14:$I$271,6,FALSE)</f>
        <v>1</v>
      </c>
      <c r="F278" s="6"/>
      <c r="G278" s="6"/>
      <c r="H278" s="6"/>
      <c r="I278" s="6"/>
      <c r="J278" s="7" t="s">
        <v>224</v>
      </c>
      <c r="K278"/>
    </row>
    <row r="279" spans="1:11" ht="15">
      <c r="A279"/>
      <c r="B279"/>
      <c r="C279"/>
      <c r="D279"/>
      <c r="E279"/>
      <c r="F279"/>
      <c r="G279"/>
      <c r="H279"/>
      <c r="I279"/>
      <c r="J279"/>
      <c r="K279"/>
    </row>
    <row r="280" spans="1:11" ht="19.5">
      <c r="A280" s="1" t="s">
        <v>194</v>
      </c>
      <c r="B280"/>
      <c r="C280"/>
      <c r="D280"/>
      <c r="E280"/>
      <c r="F280"/>
      <c r="G280"/>
      <c r="H280"/>
      <c r="I280"/>
      <c r="J280"/>
      <c r="K280"/>
    </row>
    <row r="281" spans="1:11" ht="15">
      <c r="A281"/>
      <c r="B281"/>
      <c r="C281"/>
      <c r="D281"/>
      <c r="E281"/>
      <c r="F281"/>
      <c r="G281"/>
      <c r="H281"/>
      <c r="I281"/>
      <c r="J281"/>
      <c r="K281"/>
    </row>
    <row r="282" spans="1:11" ht="15">
      <c r="A282"/>
      <c r="B282" s="3" t="s">
        <v>195</v>
      </c>
      <c r="C282" s="3" t="s">
        <v>196</v>
      </c>
      <c r="D282" s="3" t="s">
        <v>197</v>
      </c>
      <c r="E282"/>
      <c r="F282"/>
      <c r="G282"/>
      <c r="H282"/>
      <c r="I282"/>
      <c r="J282"/>
      <c r="K282"/>
    </row>
    <row r="283" spans="1:11" ht="15">
      <c r="A283" s="8" t="s">
        <v>54</v>
      </c>
      <c r="B283" s="11">
        <f>VLOOKUP(Vlookup!B247,'CDCM Forecast Data'!$A$14:$I$271,6,FALSE)</f>
        <v>8.8740200313094042E-2</v>
      </c>
      <c r="C283" s="11">
        <f>VLOOKUP(Vlookup!C247,'CDCM Forecast Data'!$A$14:$I$271,6,FALSE)</f>
        <v>0.46239559627820986</v>
      </c>
      <c r="D283" s="11">
        <f>VLOOKUP(Vlookup!D247,'CDCM Forecast Data'!$A$14:$I$271,6,FALSE)</f>
        <v>0.44886420340869609</v>
      </c>
      <c r="E283" s="7" t="s">
        <v>224</v>
      </c>
      <c r="F283"/>
      <c r="G283"/>
      <c r="H283"/>
      <c r="I283"/>
      <c r="J283"/>
      <c r="K283"/>
    </row>
    <row r="284" spans="1:11" ht="15">
      <c r="A284" s="8" t="s">
        <v>55</v>
      </c>
      <c r="B284" s="11">
        <f>VLOOKUP(Vlookup!B248,'CDCM Forecast Data'!$A$14:$I$271,6,FALSE)</f>
        <v>0.10751585240751205</v>
      </c>
      <c r="C284" s="11">
        <f>VLOOKUP(Vlookup!C248,'CDCM Forecast Data'!$A$14:$I$271,6,FALSE)</f>
        <v>0.53928993725192576</v>
      </c>
      <c r="D284" s="11">
        <f>VLOOKUP(Vlookup!D248,'CDCM Forecast Data'!$A$14:$I$271,6,FALSE)</f>
        <v>0.35319421034056231</v>
      </c>
      <c r="E284" s="7" t="s">
        <v>224</v>
      </c>
      <c r="F284"/>
      <c r="G284"/>
      <c r="H284"/>
      <c r="I284"/>
      <c r="J284"/>
      <c r="K284"/>
    </row>
    <row r="285" spans="1:11" ht="15">
      <c r="A285" s="8" t="s">
        <v>91</v>
      </c>
      <c r="B285" s="11">
        <f>VLOOKUP(Vlookup!B249,'CDCM Forecast Data'!$A$14:$I$271,6,FALSE)</f>
        <v>1.3467452839655742E-3</v>
      </c>
      <c r="C285" s="11">
        <f>VLOOKUP(Vlookup!C249,'CDCM Forecast Data'!$A$14:$I$271,6,FALSE)</f>
        <v>0.10870547020102579</v>
      </c>
      <c r="D285" s="11">
        <f>VLOOKUP(Vlookup!D249,'CDCM Forecast Data'!$A$14:$I$271,6,FALSE)</f>
        <v>0.88994778451500867</v>
      </c>
      <c r="E285" s="7"/>
      <c r="F285"/>
      <c r="G285"/>
      <c r="H285"/>
      <c r="I285"/>
      <c r="J285"/>
      <c r="K285"/>
    </row>
    <row r="286" spans="1:11" ht="15">
      <c r="A286" s="8" t="s">
        <v>56</v>
      </c>
      <c r="B286" s="11">
        <f>VLOOKUP(Vlookup!B250,'CDCM Forecast Data'!$A$14:$I$271,6,FALSE)</f>
        <v>6.26200465507879E-2</v>
      </c>
      <c r="C286" s="11">
        <f>VLOOKUP(Vlookup!C250,'CDCM Forecast Data'!$A$14:$I$271,6,FALSE)</f>
        <v>0.56596294840089356</v>
      </c>
      <c r="D286" s="11">
        <f>VLOOKUP(Vlookup!D250,'CDCM Forecast Data'!$A$14:$I$271,6,FALSE)</f>
        <v>0.37141700504831854</v>
      </c>
      <c r="E286" s="7"/>
      <c r="F286"/>
      <c r="G286"/>
      <c r="H286"/>
      <c r="I286"/>
      <c r="J286"/>
      <c r="K286"/>
    </row>
    <row r="287" spans="1:11" ht="15">
      <c r="A287" s="8" t="s">
        <v>57</v>
      </c>
      <c r="B287" s="11">
        <f>VLOOKUP(Vlookup!B251,'CDCM Forecast Data'!$A$14:$I$271,6,FALSE)</f>
        <v>8.1156541207900612E-2</v>
      </c>
      <c r="C287" s="11">
        <f>VLOOKUP(Vlookup!C251,'CDCM Forecast Data'!$A$14:$I$271,6,FALSE)</f>
        <v>0.63066077743340532</v>
      </c>
      <c r="D287" s="11">
        <f>VLOOKUP(Vlookup!D251,'CDCM Forecast Data'!$A$14:$I$271,6,FALSE)</f>
        <v>0.28818268135869413</v>
      </c>
      <c r="E287" s="7" t="s">
        <v>224</v>
      </c>
      <c r="F287"/>
      <c r="G287"/>
      <c r="H287"/>
      <c r="I287"/>
      <c r="J287"/>
      <c r="K287"/>
    </row>
    <row r="288" spans="1:11" ht="15">
      <c r="A288" s="8" t="s">
        <v>92</v>
      </c>
      <c r="B288" s="11">
        <f>VLOOKUP(Vlookup!B252,'CDCM Forecast Data'!$A$14:$I$271,6,FALSE)</f>
        <v>2.1108855935806684E-3</v>
      </c>
      <c r="C288" s="11">
        <f>VLOOKUP(Vlookup!C252,'CDCM Forecast Data'!$A$14:$I$271,6,FALSE)</f>
        <v>0.11802654892647897</v>
      </c>
      <c r="D288" s="11">
        <f>VLOOKUP(Vlookup!D252,'CDCM Forecast Data'!$A$14:$I$271,6,FALSE)</f>
        <v>0.87986256547994035</v>
      </c>
      <c r="E288" s="7" t="s">
        <v>224</v>
      </c>
      <c r="F288"/>
      <c r="G288"/>
      <c r="H288"/>
      <c r="I288"/>
      <c r="J288"/>
      <c r="K288"/>
    </row>
    <row r="289" spans="1:11" ht="15">
      <c r="A289" s="8" t="s">
        <v>58</v>
      </c>
      <c r="B289" s="11">
        <f>VLOOKUP(Vlookup!B253,'CDCM Forecast Data'!$A$14:$I$271,6,FALSE)</f>
        <v>8.2970247934956221E-2</v>
      </c>
      <c r="C289" s="11">
        <f>VLOOKUP(Vlookup!C253,'CDCM Forecast Data'!$A$14:$I$271,6,FALSE)</f>
        <v>0.62036110080486229</v>
      </c>
      <c r="D289" s="11">
        <f>VLOOKUP(Vlookup!D253,'CDCM Forecast Data'!$A$14:$I$271,6,FALSE)</f>
        <v>0.29666865126018144</v>
      </c>
      <c r="E289" s="7" t="s">
        <v>224</v>
      </c>
      <c r="F289"/>
      <c r="G289"/>
      <c r="H289"/>
      <c r="I289"/>
      <c r="J289"/>
      <c r="K289"/>
    </row>
    <row r="290" spans="1:11" ht="15">
      <c r="A290" s="8" t="s">
        <v>59</v>
      </c>
      <c r="B290" s="11">
        <f>VLOOKUP(Vlookup!B254,'CDCM Forecast Data'!$A$14:$I$271,6,FALSE)</f>
        <v>8.1888603416870973E-2</v>
      </c>
      <c r="C290" s="11">
        <f>VLOOKUP(Vlookup!C254,'CDCM Forecast Data'!$A$14:$I$271,6,FALSE)</f>
        <v>0.61855839995261419</v>
      </c>
      <c r="D290" s="11">
        <f>VLOOKUP(Vlookup!D254,'CDCM Forecast Data'!$A$14:$I$271,6,FALSE)</f>
        <v>0.29955299663051482</v>
      </c>
      <c r="E290" s="7" t="s">
        <v>224</v>
      </c>
      <c r="F290"/>
      <c r="G290"/>
      <c r="H290"/>
      <c r="I290"/>
      <c r="J290"/>
      <c r="K290"/>
    </row>
    <row r="291" spans="1:11" ht="15">
      <c r="A291" s="8" t="s">
        <v>72</v>
      </c>
      <c r="B291" s="11">
        <f>VLOOKUP(Vlookup!B255,'CDCM Forecast Data'!$A$14:$I$271,6,FALSE)</f>
        <v>8.215022324053349E-2</v>
      </c>
      <c r="C291" s="11">
        <f>VLOOKUP(Vlookup!C255,'CDCM Forecast Data'!$A$14:$I$271,6,FALSE)</f>
        <v>0.63955866566854391</v>
      </c>
      <c r="D291" s="11">
        <f>VLOOKUP(Vlookup!D255,'CDCM Forecast Data'!$A$14:$I$271,6,FALSE)</f>
        <v>0.27829111109092258</v>
      </c>
      <c r="E291" s="7" t="s">
        <v>224</v>
      </c>
      <c r="F291"/>
      <c r="G291"/>
      <c r="H291"/>
      <c r="I291"/>
      <c r="J291"/>
      <c r="K291"/>
    </row>
    <row r="292" spans="1:11" ht="15">
      <c r="A292"/>
      <c r="B292"/>
      <c r="C292"/>
      <c r="D292"/>
      <c r="E292"/>
      <c r="F292"/>
      <c r="G292"/>
      <c r="H292"/>
      <c r="I292"/>
      <c r="J292"/>
      <c r="K292"/>
    </row>
    <row r="293" spans="1:11" ht="19.5">
      <c r="A293" s="1" t="s">
        <v>198</v>
      </c>
      <c r="B293"/>
      <c r="C293"/>
      <c r="D293"/>
      <c r="E293"/>
      <c r="F293"/>
      <c r="G293"/>
      <c r="H293"/>
      <c r="I293"/>
      <c r="J293"/>
      <c r="K293"/>
    </row>
    <row r="294" spans="1:11" ht="15">
      <c r="A294"/>
      <c r="B294"/>
      <c r="C294"/>
      <c r="D294"/>
      <c r="E294"/>
      <c r="F294"/>
      <c r="G294"/>
      <c r="H294"/>
      <c r="I294"/>
      <c r="J294"/>
      <c r="K294"/>
    </row>
    <row r="295" spans="1:11" ht="15">
      <c r="A295"/>
      <c r="B295" s="3" t="s">
        <v>195</v>
      </c>
      <c r="C295" s="3" t="s">
        <v>196</v>
      </c>
      <c r="D295" s="3" t="s">
        <v>197</v>
      </c>
      <c r="E295"/>
      <c r="F295"/>
      <c r="G295"/>
      <c r="H295"/>
      <c r="I295"/>
      <c r="J295"/>
      <c r="K295"/>
    </row>
    <row r="296" spans="1:11" ht="15">
      <c r="A296" s="8" t="s">
        <v>55</v>
      </c>
      <c r="B296" s="11">
        <f>VLOOKUP(Vlookup!B263,'CDCM Forecast Data'!$A$14:$I$271,6,FALSE)</f>
        <v>0</v>
      </c>
      <c r="C296" s="11">
        <f>VLOOKUP(Vlookup!C263,'CDCM Forecast Data'!$A$14:$I$271,6,FALSE)</f>
        <v>2.0980929821621391E-2</v>
      </c>
      <c r="D296" s="11">
        <f>VLOOKUP(Vlookup!D263,'CDCM Forecast Data'!$A$14:$I$271,6,FALSE)</f>
        <v>0.97901907017837864</v>
      </c>
      <c r="E296" s="7" t="s">
        <v>224</v>
      </c>
      <c r="F296"/>
      <c r="G296"/>
      <c r="H296"/>
      <c r="I296"/>
      <c r="J296"/>
      <c r="K296"/>
    </row>
    <row r="297" spans="1:11" ht="15">
      <c r="A297" s="8" t="s">
        <v>57</v>
      </c>
      <c r="B297" s="11">
        <f>VLOOKUP(Vlookup!B264,'CDCM Forecast Data'!$A$14:$I$271,6,FALSE)</f>
        <v>0</v>
      </c>
      <c r="C297" s="11">
        <f>VLOOKUP(Vlookup!C264,'CDCM Forecast Data'!$A$14:$I$271,6,FALSE)</f>
        <v>2.6444594802158033E-2</v>
      </c>
      <c r="D297" s="11">
        <f>VLOOKUP(Vlookup!D264,'CDCM Forecast Data'!$A$14:$I$271,6,FALSE)</f>
        <v>0.97355540519784201</v>
      </c>
      <c r="E297" s="7" t="s">
        <v>224</v>
      </c>
      <c r="F297"/>
      <c r="G297"/>
      <c r="H297"/>
      <c r="I297"/>
      <c r="J297"/>
      <c r="K297"/>
    </row>
    <row r="298" spans="1:11" ht="15">
      <c r="A298" s="8" t="s">
        <v>58</v>
      </c>
      <c r="B298" s="11">
        <f>VLOOKUP(Vlookup!B265,'CDCM Forecast Data'!$A$14:$I$271,6,FALSE)</f>
        <v>0</v>
      </c>
      <c r="C298" s="11">
        <f>VLOOKUP(Vlookup!C265,'CDCM Forecast Data'!$A$14:$I$271,6,FALSE)</f>
        <v>0</v>
      </c>
      <c r="D298" s="11">
        <f>VLOOKUP(Vlookup!D265,'CDCM Forecast Data'!$A$14:$I$271,6,FALSE)</f>
        <v>1</v>
      </c>
      <c r="E298" s="7" t="s">
        <v>224</v>
      </c>
      <c r="F298"/>
      <c r="G298"/>
      <c r="H298"/>
      <c r="I298"/>
      <c r="J298"/>
      <c r="K298"/>
    </row>
    <row r="299" spans="1:11" ht="15">
      <c r="A299" s="8" t="s">
        <v>59</v>
      </c>
      <c r="B299" s="11">
        <f>VLOOKUP(Vlookup!B266,'CDCM Forecast Data'!$A$14:$I$271,6,FALSE)</f>
        <v>0</v>
      </c>
      <c r="C299" s="11">
        <f>VLOOKUP(Vlookup!C266,'CDCM Forecast Data'!$A$14:$I$271,6,FALSE)</f>
        <v>0</v>
      </c>
      <c r="D299" s="11">
        <f>VLOOKUP(Vlookup!D266,'CDCM Forecast Data'!$A$14:$I$271,6,FALSE)</f>
        <v>1</v>
      </c>
      <c r="E299" s="7" t="s">
        <v>224</v>
      </c>
      <c r="F299"/>
      <c r="G299"/>
      <c r="H299"/>
      <c r="I299"/>
      <c r="J299"/>
      <c r="K299"/>
    </row>
    <row r="300" spans="1:11" ht="15">
      <c r="A300" s="8" t="s">
        <v>72</v>
      </c>
      <c r="B300" s="11">
        <f>VLOOKUP(Vlookup!B267,'CDCM Forecast Data'!$A$14:$I$271,6,FALSE)</f>
        <v>0</v>
      </c>
      <c r="C300" s="11">
        <f>VLOOKUP(Vlookup!C267,'CDCM Forecast Data'!$A$14:$I$271,6,FALSE)</f>
        <v>0</v>
      </c>
      <c r="D300" s="11">
        <f>VLOOKUP(Vlookup!D267,'CDCM Forecast Data'!$A$14:$I$271,6,FALSE)</f>
        <v>1</v>
      </c>
      <c r="E300" s="7" t="s">
        <v>224</v>
      </c>
      <c r="F300"/>
      <c r="G300"/>
      <c r="H300"/>
      <c r="I300"/>
      <c r="J300"/>
      <c r="K300"/>
    </row>
    <row r="301" spans="1:11" ht="15">
      <c r="A301"/>
      <c r="B301"/>
      <c r="C301"/>
      <c r="D301"/>
      <c r="E301"/>
      <c r="F301"/>
      <c r="G301"/>
      <c r="H301"/>
      <c r="I301"/>
      <c r="J301"/>
      <c r="K301"/>
    </row>
    <row r="302" spans="1:11" ht="19.5">
      <c r="A302" s="1" t="s">
        <v>199</v>
      </c>
      <c r="B302"/>
      <c r="C302"/>
      <c r="D302"/>
      <c r="E302"/>
      <c r="F302"/>
      <c r="G302"/>
      <c r="H302"/>
      <c r="I302"/>
      <c r="J302"/>
      <c r="K302"/>
    </row>
    <row r="303" spans="1:11" ht="15">
      <c r="A303"/>
      <c r="B303"/>
      <c r="C303"/>
      <c r="D303"/>
      <c r="E303"/>
      <c r="F303"/>
      <c r="G303"/>
      <c r="H303"/>
      <c r="I303"/>
      <c r="J303"/>
      <c r="K303"/>
    </row>
    <row r="304" spans="1:11" ht="15">
      <c r="A304"/>
      <c r="B304" s="3" t="s">
        <v>200</v>
      </c>
      <c r="C304" s="3" t="s">
        <v>201</v>
      </c>
      <c r="D304" s="3" t="s">
        <v>197</v>
      </c>
      <c r="E304" t="s">
        <v>224</v>
      </c>
      <c r="F304"/>
      <c r="G304"/>
      <c r="H304"/>
      <c r="I304"/>
      <c r="J304"/>
      <c r="K304"/>
    </row>
    <row r="305" spans="1:11" ht="15">
      <c r="A305" s="8" t="s">
        <v>93</v>
      </c>
      <c r="B305" s="11">
        <f>VLOOKUP(Vlookup!B272,'CDCM Forecast Data'!$A$14:$I$271,6,FALSE)</f>
        <v>1.7335795260789644E-2</v>
      </c>
      <c r="C305" s="11">
        <f>VLOOKUP(Vlookup!C272,'CDCM Forecast Data'!$A$14:$I$271,6,FALSE)</f>
        <v>0.4355228684781795</v>
      </c>
      <c r="D305" s="11">
        <f>VLOOKUP(Vlookup!D272,'CDCM Forecast Data'!$A$14:$I$271,6,FALSE)</f>
        <v>0.54714133626103079</v>
      </c>
      <c r="E305" s="7" t="s">
        <v>224</v>
      </c>
      <c r="F305"/>
      <c r="G305"/>
      <c r="H305"/>
      <c r="I305"/>
      <c r="J305"/>
      <c r="K305"/>
    </row>
    <row r="306" spans="1:11" ht="15">
      <c r="A306" s="8" t="s">
        <v>94</v>
      </c>
      <c r="B306" s="11">
        <f>VLOOKUP(Vlookup!B273,'CDCM Forecast Data'!$A$14:$I$271,6,FALSE)</f>
        <v>3.2847302717098244E-2</v>
      </c>
      <c r="C306" s="11">
        <f>VLOOKUP(Vlookup!C273,'CDCM Forecast Data'!$A$14:$I$271,6,FALSE)</f>
        <v>0.1517630105786926</v>
      </c>
      <c r="D306" s="11">
        <f>VLOOKUP(Vlookup!D273,'CDCM Forecast Data'!$A$14:$I$271,6,FALSE)</f>
        <v>0.81538968670420919</v>
      </c>
      <c r="E306" s="7" t="s">
        <v>224</v>
      </c>
      <c r="F306"/>
      <c r="G306"/>
      <c r="H306"/>
      <c r="I306"/>
      <c r="J306"/>
      <c r="K306"/>
    </row>
    <row r="307" spans="1:11" ht="15">
      <c r="A307" s="8" t="s">
        <v>95</v>
      </c>
      <c r="B307" s="11">
        <f>VLOOKUP(Vlookup!B274,'CDCM Forecast Data'!$A$14:$I$271,6,FALSE)</f>
        <v>5.9273595790326206E-2</v>
      </c>
      <c r="C307" s="11">
        <f>VLOOKUP(Vlookup!C274,'CDCM Forecast Data'!$A$14:$I$271,6,FALSE)</f>
        <v>0.24811484564374295</v>
      </c>
      <c r="D307" s="11">
        <f>VLOOKUP(Vlookup!D274,'CDCM Forecast Data'!$A$14:$I$271,6,FALSE)</f>
        <v>0.69261155856593071</v>
      </c>
      <c r="E307" s="7" t="s">
        <v>224</v>
      </c>
      <c r="F307"/>
      <c r="G307"/>
      <c r="H307"/>
      <c r="I307"/>
      <c r="J307"/>
      <c r="K307"/>
    </row>
    <row r="308" spans="1:11" ht="15">
      <c r="A308" s="8" t="s">
        <v>96</v>
      </c>
      <c r="B308" s="11">
        <f>VLOOKUP(Vlookup!B275,'CDCM Forecast Data'!$A$14:$I$271,6,FALSE)</f>
        <v>2.4492897224272499E-3</v>
      </c>
      <c r="C308" s="11">
        <f>VLOOKUP(Vlookup!C275,'CDCM Forecast Data'!$A$14:$I$271,6,FALSE)</f>
        <v>0.69957381670812457</v>
      </c>
      <c r="D308" s="11">
        <f>VLOOKUP(Vlookup!D275,'CDCM Forecast Data'!$A$14:$I$271,6,FALSE)</f>
        <v>0.29797689356944818</v>
      </c>
      <c r="E308" s="7" t="s">
        <v>224</v>
      </c>
      <c r="F308"/>
      <c r="G308"/>
      <c r="H308"/>
      <c r="I308"/>
      <c r="J308"/>
      <c r="K308"/>
    </row>
    <row r="309" spans="1:11" ht="15">
      <c r="A309"/>
      <c r="B309"/>
      <c r="C309"/>
      <c r="D309"/>
      <c r="E309"/>
      <c r="F309"/>
      <c r="G309"/>
      <c r="H309"/>
      <c r="I309"/>
      <c r="J309"/>
      <c r="K309"/>
    </row>
    <row r="310" spans="1:11" ht="19.5">
      <c r="A310" s="1" t="s">
        <v>202</v>
      </c>
      <c r="B310"/>
      <c r="C310"/>
      <c r="D310"/>
      <c r="E310"/>
      <c r="F310"/>
      <c r="G310"/>
      <c r="H310"/>
      <c r="I310"/>
      <c r="J310"/>
      <c r="K310"/>
    </row>
    <row r="311" spans="1:11" ht="15">
      <c r="A311" s="2" t="s">
        <v>203</v>
      </c>
      <c r="B311"/>
      <c r="C311"/>
      <c r="D311"/>
      <c r="E311"/>
      <c r="F311"/>
      <c r="G311"/>
      <c r="H311"/>
      <c r="I311"/>
      <c r="J311"/>
      <c r="K311"/>
    </row>
    <row r="312" spans="1:11" ht="15">
      <c r="A312" s="2" t="s">
        <v>204</v>
      </c>
      <c r="B312"/>
      <c r="C312"/>
      <c r="D312"/>
      <c r="E312"/>
      <c r="F312"/>
      <c r="G312"/>
      <c r="H312"/>
      <c r="I312"/>
      <c r="J312"/>
      <c r="K312"/>
    </row>
    <row r="313" spans="1:11" ht="15">
      <c r="A313"/>
      <c r="B313"/>
      <c r="C313"/>
      <c r="D313"/>
      <c r="E313"/>
      <c r="F313"/>
      <c r="G313"/>
      <c r="H313"/>
      <c r="I313"/>
      <c r="J313"/>
      <c r="K313"/>
    </row>
    <row r="314" spans="1:11" ht="15">
      <c r="A314"/>
      <c r="B314" s="3" t="s">
        <v>200</v>
      </c>
      <c r="C314" s="3" t="s">
        <v>201</v>
      </c>
      <c r="D314" s="3" t="s">
        <v>197</v>
      </c>
      <c r="E314"/>
      <c r="F314"/>
      <c r="G314"/>
      <c r="H314"/>
      <c r="I314"/>
      <c r="J314"/>
      <c r="K314"/>
    </row>
    <row r="315" spans="1:11" ht="15">
      <c r="A315" s="8" t="s">
        <v>205</v>
      </c>
      <c r="B315" s="14">
        <f>VLOOKUP(Vlookup!B282,'CDCM Forecast Data'!$A$14:$I$271,6,FALSE)</f>
        <v>152</v>
      </c>
      <c r="C315" s="14">
        <f>VLOOKUP(Vlookup!C282,'CDCM Forecast Data'!$A$14:$I$271,6,FALSE)</f>
        <v>3828</v>
      </c>
      <c r="D315" s="14">
        <f>VLOOKUP(Vlookup!D282,'CDCM Forecast Data'!$A$14:$I$271,6,FALSE)</f>
        <v>4804</v>
      </c>
      <c r="E315" s="7" t="s">
        <v>224</v>
      </c>
      <c r="F315"/>
      <c r="G315"/>
      <c r="H315"/>
      <c r="I315"/>
      <c r="J315"/>
      <c r="K315"/>
    </row>
    <row r="316" spans="1:11" ht="15">
      <c r="A316"/>
      <c r="B316"/>
      <c r="C316"/>
      <c r="D316"/>
      <c r="E316"/>
      <c r="F316"/>
      <c r="G316"/>
      <c r="H316"/>
      <c r="I316"/>
      <c r="J316"/>
      <c r="K316"/>
    </row>
    <row r="317" spans="1:11" ht="19.5">
      <c r="A317" s="1" t="s">
        <v>206</v>
      </c>
      <c r="B317"/>
      <c r="C317"/>
      <c r="D317"/>
      <c r="E317"/>
      <c r="F317"/>
      <c r="G317"/>
      <c r="H317"/>
      <c r="I317"/>
      <c r="J317"/>
      <c r="K317"/>
    </row>
    <row r="318" spans="1:11" ht="15">
      <c r="A318" s="2"/>
      <c r="B318"/>
      <c r="C318"/>
      <c r="D318"/>
      <c r="E318"/>
      <c r="F318"/>
      <c r="G318"/>
      <c r="H318"/>
      <c r="I318"/>
      <c r="J318"/>
      <c r="K318"/>
    </row>
    <row r="319" spans="1:11" ht="15">
      <c r="A319" s="2" t="s">
        <v>203</v>
      </c>
      <c r="B319"/>
      <c r="C319"/>
      <c r="D319"/>
      <c r="E319"/>
      <c r="F319"/>
      <c r="G319"/>
      <c r="H319"/>
      <c r="I319"/>
      <c r="J319"/>
      <c r="K319"/>
    </row>
    <row r="320" spans="1:11" ht="15">
      <c r="A320" t="s">
        <v>204</v>
      </c>
      <c r="B320"/>
      <c r="C320"/>
      <c r="D320"/>
      <c r="E320"/>
      <c r="F320"/>
      <c r="G320"/>
      <c r="H320"/>
      <c r="I320"/>
      <c r="J320"/>
      <c r="K320"/>
    </row>
    <row r="321" spans="1:11" ht="15">
      <c r="A321"/>
      <c r="B321" s="3" t="s">
        <v>195</v>
      </c>
      <c r="C321" s="3" t="s">
        <v>196</v>
      </c>
      <c r="D321" s="3" t="s">
        <v>197</v>
      </c>
      <c r="E321"/>
      <c r="F321"/>
      <c r="G321"/>
      <c r="H321"/>
      <c r="I321"/>
      <c r="J321"/>
      <c r="K321"/>
    </row>
    <row r="322" spans="1:11" ht="15">
      <c r="A322" s="8" t="s">
        <v>205</v>
      </c>
      <c r="B322" s="14">
        <f>VLOOKUP(Vlookup!B289,'CDCM Forecast Data'!$A$14:$I$271,6,FALSE)</f>
        <v>524</v>
      </c>
      <c r="C322" s="14">
        <f>VLOOKUP(Vlookup!C289,'CDCM Forecast Data'!$A$14:$I$271,6,FALSE)</f>
        <v>3456</v>
      </c>
      <c r="D322" s="14">
        <f>VLOOKUP(Vlookup!D289,'CDCM Forecast Data'!$A$14:$I$271,6,FALSE)</f>
        <v>4804</v>
      </c>
      <c r="E322" s="7" t="s">
        <v>224</v>
      </c>
      <c r="F322"/>
      <c r="G322"/>
      <c r="H322"/>
      <c r="I322"/>
      <c r="J322"/>
      <c r="K322"/>
    </row>
    <row r="323" spans="1:11" ht="15">
      <c r="A323"/>
      <c r="B323"/>
      <c r="C323"/>
      <c r="D323"/>
      <c r="E323"/>
      <c r="F323"/>
      <c r="G323"/>
      <c r="H323"/>
      <c r="I323"/>
      <c r="J323"/>
      <c r="K323"/>
    </row>
    <row r="324" spans="1:11" ht="19.5">
      <c r="A324" s="1" t="s">
        <v>207</v>
      </c>
      <c r="B324"/>
      <c r="C324"/>
      <c r="D324"/>
      <c r="E324"/>
      <c r="F324"/>
      <c r="G324"/>
      <c r="H324"/>
      <c r="I324"/>
      <c r="J324"/>
      <c r="K324"/>
    </row>
    <row r="325" spans="1:11" ht="15">
      <c r="A325" s="2"/>
      <c r="B325"/>
      <c r="C325"/>
      <c r="D325"/>
      <c r="E325"/>
      <c r="F325"/>
      <c r="G325"/>
      <c r="H325"/>
      <c r="I325"/>
      <c r="J325"/>
      <c r="K325"/>
    </row>
    <row r="326" spans="1:11" ht="15">
      <c r="A326"/>
      <c r="B326"/>
      <c r="C326"/>
      <c r="D326"/>
      <c r="E326"/>
      <c r="F326"/>
      <c r="G326"/>
      <c r="H326"/>
      <c r="I326"/>
      <c r="J326"/>
      <c r="K326"/>
    </row>
    <row r="327" spans="1:11" ht="15">
      <c r="A327" t="s">
        <v>208</v>
      </c>
      <c r="B327" s="15"/>
      <c r="C327" s="15"/>
      <c r="D327" s="15"/>
      <c r="E327"/>
      <c r="F327"/>
      <c r="G327"/>
      <c r="H327"/>
      <c r="I327"/>
      <c r="J327"/>
      <c r="K327"/>
    </row>
    <row r="328" spans="1:11" ht="15">
      <c r="A328"/>
      <c r="B328" s="3" t="s">
        <v>195</v>
      </c>
      <c r="C328" s="3" t="s">
        <v>196</v>
      </c>
      <c r="D328" s="3" t="s">
        <v>197</v>
      </c>
      <c r="E328" s="3" t="s">
        <v>200</v>
      </c>
      <c r="F328"/>
      <c r="G328"/>
      <c r="H328"/>
      <c r="I328"/>
      <c r="J328"/>
      <c r="K328"/>
    </row>
    <row r="329" spans="1:11" ht="15">
      <c r="A329" s="8" t="s">
        <v>22</v>
      </c>
      <c r="B329" s="11">
        <f>VLOOKUP(Vlookup!B295,'CDCM Forecast Data'!$A$14:$I$271,6,FALSE)</f>
        <v>1</v>
      </c>
      <c r="C329" s="11">
        <f>VLOOKUP(Vlookup!C295,'CDCM Forecast Data'!$A$14:$I$271,6,FALSE)</f>
        <v>0</v>
      </c>
      <c r="D329" s="11">
        <f>VLOOKUP(Vlookup!D295,'CDCM Forecast Data'!$A$14:$I$271,6,FALSE)</f>
        <v>0</v>
      </c>
      <c r="E329" s="11">
        <f>VLOOKUP(Vlookup!E295,'CDCM Forecast Data'!$A$14:$I$271,6,FALSE)</f>
        <v>0.92156483159064961</v>
      </c>
      <c r="F329" s="7" t="s">
        <v>224</v>
      </c>
      <c r="G329"/>
      <c r="H329"/>
      <c r="I329"/>
      <c r="J329"/>
      <c r="K329"/>
    </row>
    <row r="330" spans="1:11" ht="15">
      <c r="A330" s="8" t="s">
        <v>23</v>
      </c>
      <c r="B330" s="11">
        <f>VLOOKUP(Vlookup!B296,'CDCM Forecast Data'!$A$14:$I$271,6,FALSE)</f>
        <v>0.84421935577541152</v>
      </c>
      <c r="C330" s="11">
        <f>VLOOKUP(Vlookup!C296,'CDCM Forecast Data'!$A$14:$I$271,6,FALSE)</f>
        <v>9.0147705546417975E-2</v>
      </c>
      <c r="D330" s="11">
        <f>VLOOKUP(Vlookup!D296,'CDCM Forecast Data'!$A$14:$I$271,6,FALSE)</f>
        <v>6.5632938678170452E-2</v>
      </c>
      <c r="E330" s="11">
        <f>VLOOKUP(Vlookup!E296,'CDCM Forecast Data'!$A$14:$I$271,6,FALSE)</f>
        <v>0.8059370919906842</v>
      </c>
      <c r="F330" s="7" t="s">
        <v>224</v>
      </c>
      <c r="G330"/>
      <c r="H330"/>
      <c r="I330"/>
      <c r="J330"/>
      <c r="K330"/>
    </row>
    <row r="331" spans="1:11" ht="15">
      <c r="A331" s="8" t="s">
        <v>24</v>
      </c>
      <c r="B331" s="11">
        <f>VLOOKUP(Vlookup!B297,'CDCM Forecast Data'!$A$14:$I$271,6,FALSE)</f>
        <v>0.84421935577541152</v>
      </c>
      <c r="C331" s="11">
        <f>VLOOKUP(Vlookup!C297,'CDCM Forecast Data'!$A$14:$I$271,6,FALSE)</f>
        <v>9.0147705546417975E-2</v>
      </c>
      <c r="D331" s="11">
        <f>VLOOKUP(Vlookup!D297,'CDCM Forecast Data'!$A$14:$I$271,6,FALSE)</f>
        <v>6.5632938678170452E-2</v>
      </c>
      <c r="E331" s="11">
        <f>VLOOKUP(Vlookup!E297,'CDCM Forecast Data'!$A$14:$I$271,6,FALSE)</f>
        <v>0.8059370919906842</v>
      </c>
      <c r="F331" s="7" t="s">
        <v>224</v>
      </c>
      <c r="G331"/>
      <c r="H331"/>
      <c r="I331"/>
      <c r="J331"/>
      <c r="K331"/>
    </row>
    <row r="332" spans="1:11" ht="15">
      <c r="A332" s="8" t="s">
        <v>25</v>
      </c>
      <c r="B332" s="11">
        <f>VLOOKUP(Vlookup!B298,'CDCM Forecast Data'!$A$14:$I$271,6,FALSE)</f>
        <v>0.60266573066353191</v>
      </c>
      <c r="C332" s="11">
        <f>VLOOKUP(Vlookup!C298,'CDCM Forecast Data'!$A$14:$I$271,6,FALSE)</f>
        <v>0.31015129614903031</v>
      </c>
      <c r="D332" s="11">
        <f>VLOOKUP(Vlookup!D298,'CDCM Forecast Data'!$A$14:$I$271,6,FALSE)</f>
        <v>8.7182973187437854E-2</v>
      </c>
      <c r="E332" s="11">
        <f>VLOOKUP(Vlookup!E298,'CDCM Forecast Data'!$A$14:$I$271,6,FALSE)</f>
        <v>0.53548212993836886</v>
      </c>
      <c r="F332" s="7" t="s">
        <v>224</v>
      </c>
      <c r="G332"/>
      <c r="H332"/>
      <c r="I332"/>
      <c r="J332"/>
      <c r="K332"/>
    </row>
    <row r="333" spans="1:11" ht="15">
      <c r="A333" s="8" t="s">
        <v>26</v>
      </c>
      <c r="B333" s="11">
        <f>VLOOKUP(Vlookup!B299,'CDCM Forecast Data'!$A$14:$I$271,6,FALSE)</f>
        <v>0.60266573066353191</v>
      </c>
      <c r="C333" s="11">
        <f>VLOOKUP(Vlookup!C299,'CDCM Forecast Data'!$A$14:$I$271,6,FALSE)</f>
        <v>0.31015129614903031</v>
      </c>
      <c r="D333" s="11">
        <f>VLOOKUP(Vlookup!D299,'CDCM Forecast Data'!$A$14:$I$271,6,FALSE)</f>
        <v>8.7182973187437854E-2</v>
      </c>
      <c r="E333" s="11">
        <f>VLOOKUP(Vlookup!E299,'CDCM Forecast Data'!$A$14:$I$271,6,FALSE)</f>
        <v>0.53548212993836886</v>
      </c>
      <c r="F333" s="7" t="s">
        <v>224</v>
      </c>
      <c r="G333"/>
      <c r="H333"/>
      <c r="I333"/>
      <c r="J333"/>
      <c r="K333"/>
    </row>
    <row r="334" spans="1:11" ht="15">
      <c r="A334" s="8" t="s">
        <v>31</v>
      </c>
      <c r="B334" s="11">
        <f>VLOOKUP(Vlookup!B300,'CDCM Forecast Data'!$A$14:$I$271,6,FALSE)</f>
        <v>0.84421935577541152</v>
      </c>
      <c r="C334" s="11">
        <f>VLOOKUP(Vlookup!C300,'CDCM Forecast Data'!$A$14:$I$271,6,FALSE)</f>
        <v>9.0147705546417975E-2</v>
      </c>
      <c r="D334" s="11">
        <f>VLOOKUP(Vlookup!D300,'CDCM Forecast Data'!$A$14:$I$271,6,FALSE)</f>
        <v>6.5632938678170452E-2</v>
      </c>
      <c r="E334" s="11">
        <f>VLOOKUP(Vlookup!E300,'CDCM Forecast Data'!$A$14:$I$271,6,FALSE)</f>
        <v>0.8059370919906842</v>
      </c>
      <c r="F334" s="7" t="s">
        <v>224</v>
      </c>
      <c r="G334"/>
      <c r="H334"/>
      <c r="I334"/>
      <c r="J334"/>
      <c r="K334"/>
    </row>
    <row r="335" spans="1:11" ht="15">
      <c r="A335" s="8" t="s">
        <v>27</v>
      </c>
      <c r="B335" s="11">
        <f>VLOOKUP(Vlookup!B301,'CDCM Forecast Data'!$A$14:$I$271,6,FALSE)</f>
        <v>0.60266573066353191</v>
      </c>
      <c r="C335" s="11">
        <f>VLOOKUP(Vlookup!C301,'CDCM Forecast Data'!$A$14:$I$271,6,FALSE)</f>
        <v>0.31015129614903031</v>
      </c>
      <c r="D335" s="11">
        <f>VLOOKUP(Vlookup!D301,'CDCM Forecast Data'!$A$14:$I$271,6,FALSE)</f>
        <v>8.7182973187437854E-2</v>
      </c>
      <c r="E335" s="11">
        <f>VLOOKUP(Vlookup!E301,'CDCM Forecast Data'!$A$14:$I$271,6,FALSE)</f>
        <v>0.53548212993836886</v>
      </c>
      <c r="F335" s="7" t="s">
        <v>224</v>
      </c>
      <c r="G335"/>
      <c r="H335"/>
      <c r="I335"/>
      <c r="J335"/>
      <c r="K335"/>
    </row>
    <row r="336" spans="1:11" ht="15">
      <c r="A336" s="8" t="s">
        <v>28</v>
      </c>
      <c r="B336" s="11">
        <f>VLOOKUP(Vlookup!B302,'CDCM Forecast Data'!$A$14:$I$271,6,FALSE)</f>
        <v>0.60266573066353191</v>
      </c>
      <c r="C336" s="11">
        <f>VLOOKUP(Vlookup!C302,'CDCM Forecast Data'!$A$14:$I$271,6,FALSE)</f>
        <v>0.31015129614903031</v>
      </c>
      <c r="D336" s="11">
        <f>VLOOKUP(Vlookup!D302,'CDCM Forecast Data'!$A$14:$I$271,6,FALSE)</f>
        <v>8.7182973187437854E-2</v>
      </c>
      <c r="E336" s="11">
        <f>VLOOKUP(Vlookup!E302,'CDCM Forecast Data'!$A$14:$I$271,6,FALSE)</f>
        <v>0.53548212993836886</v>
      </c>
      <c r="F336" s="7" t="s">
        <v>224</v>
      </c>
      <c r="G336"/>
      <c r="H336"/>
      <c r="I336"/>
      <c r="J336"/>
      <c r="K336"/>
    </row>
    <row r="337" spans="1:11" ht="15">
      <c r="A337" s="8" t="s">
        <v>29</v>
      </c>
      <c r="B337" s="11">
        <f>VLOOKUP(Vlookup!B303,'CDCM Forecast Data'!$A$14:$I$271,6,FALSE)</f>
        <v>0.60266573066353191</v>
      </c>
      <c r="C337" s="11">
        <f>VLOOKUP(Vlookup!C303,'CDCM Forecast Data'!$A$14:$I$271,6,FALSE)</f>
        <v>0.31015129614903031</v>
      </c>
      <c r="D337" s="11">
        <f>VLOOKUP(Vlookup!D303,'CDCM Forecast Data'!$A$14:$I$271,6,FALSE)</f>
        <v>8.7182973187437854E-2</v>
      </c>
      <c r="E337" s="11">
        <f>VLOOKUP(Vlookup!E303,'CDCM Forecast Data'!$A$14:$I$271,6,FALSE)</f>
        <v>0.53548212993836886</v>
      </c>
      <c r="F337" s="7" t="s">
        <v>224</v>
      </c>
      <c r="G337"/>
      <c r="H337"/>
      <c r="I337"/>
      <c r="J337"/>
      <c r="K337"/>
    </row>
    <row r="338" spans="1:11" ht="15">
      <c r="A338"/>
      <c r="B338"/>
      <c r="C338"/>
      <c r="D338"/>
      <c r="E338"/>
      <c r="F338"/>
      <c r="G338"/>
      <c r="H338"/>
      <c r="I338"/>
      <c r="J338"/>
      <c r="K338"/>
    </row>
    <row r="339" spans="1:11" ht="19.5">
      <c r="A339" s="1" t="s">
        <v>1166</v>
      </c>
      <c r="B339"/>
      <c r="C339"/>
      <c r="D339"/>
      <c r="E339"/>
      <c r="F339"/>
      <c r="G339"/>
      <c r="H339"/>
      <c r="I339"/>
      <c r="J339"/>
      <c r="K339"/>
    </row>
    <row r="340" spans="1:11" ht="15">
      <c r="A340" s="2" t="s">
        <v>1165</v>
      </c>
      <c r="B340"/>
      <c r="C340"/>
      <c r="D340"/>
      <c r="E340"/>
      <c r="F340"/>
      <c r="G340"/>
      <c r="H340"/>
      <c r="I340"/>
      <c r="J340"/>
      <c r="K340"/>
    </row>
    <row r="341" spans="1:11" ht="15">
      <c r="A341"/>
      <c r="B341"/>
      <c r="C341"/>
      <c r="D341"/>
      <c r="E341"/>
      <c r="F341"/>
      <c r="G341"/>
      <c r="H341"/>
      <c r="I341"/>
      <c r="J341"/>
      <c r="K341"/>
    </row>
    <row r="342" spans="1:11" ht="30">
      <c r="A342"/>
      <c r="B342" s="3" t="s">
        <v>1164</v>
      </c>
      <c r="C342"/>
      <c r="D342"/>
      <c r="E342"/>
      <c r="F342"/>
      <c r="G342"/>
      <c r="H342"/>
      <c r="I342"/>
      <c r="J342"/>
      <c r="K342"/>
    </row>
    <row r="343" spans="1:11" ht="15">
      <c r="A343" s="8" t="s">
        <v>1164</v>
      </c>
      <c r="B343" s="10">
        <f>1000000*'Table 1'!G48</f>
        <v>351258548.79184747</v>
      </c>
      <c r="C343" s="7"/>
      <c r="D343"/>
      <c r="E343"/>
      <c r="F343"/>
      <c r="G343"/>
      <c r="H343"/>
      <c r="I343"/>
      <c r="J343"/>
      <c r="K343"/>
    </row>
    <row r="344" spans="1:11" ht="15">
      <c r="A344"/>
      <c r="B344"/>
      <c r="C344"/>
      <c r="D344"/>
      <c r="E344"/>
      <c r="F344"/>
      <c r="G344"/>
      <c r="H344"/>
      <c r="I344"/>
      <c r="J344"/>
      <c r="K344"/>
    </row>
    <row r="345" spans="1:11" ht="19.5">
      <c r="A345" s="1" t="s">
        <v>210</v>
      </c>
      <c r="B345"/>
      <c r="C345"/>
      <c r="D345"/>
      <c r="E345"/>
      <c r="F345"/>
      <c r="G345"/>
      <c r="H345"/>
      <c r="I345"/>
      <c r="J345"/>
      <c r="K345"/>
    </row>
    <row r="346" spans="1:11" ht="15">
      <c r="A346" s="2" t="s">
        <v>224</v>
      </c>
      <c r="B346"/>
      <c r="C346"/>
      <c r="D346"/>
      <c r="E346"/>
      <c r="F346"/>
      <c r="G346"/>
      <c r="H346"/>
      <c r="I346"/>
      <c r="J346"/>
      <c r="K346"/>
    </row>
    <row r="347" spans="1:11" ht="15">
      <c r="A347" s="2" t="s">
        <v>211</v>
      </c>
      <c r="B347"/>
      <c r="C347"/>
      <c r="D347"/>
      <c r="E347"/>
      <c r="F347"/>
      <c r="G347"/>
      <c r="H347"/>
      <c r="I347"/>
      <c r="J347"/>
      <c r="K347"/>
    </row>
    <row r="348" spans="1:11" ht="15">
      <c r="A348" t="s">
        <v>212</v>
      </c>
      <c r="B348"/>
      <c r="C348"/>
      <c r="D348"/>
      <c r="E348"/>
      <c r="F348"/>
      <c r="G348"/>
      <c r="H348"/>
      <c r="I348"/>
      <c r="J348"/>
      <c r="K348"/>
    </row>
    <row r="349" spans="1:11" ht="15">
      <c r="A349"/>
      <c r="B349" s="3" t="s">
        <v>22</v>
      </c>
      <c r="C349" s="3" t="s">
        <v>23</v>
      </c>
      <c r="D349" s="3" t="s">
        <v>24</v>
      </c>
      <c r="E349" s="3" t="s">
        <v>25</v>
      </c>
      <c r="F349" s="3" t="s">
        <v>26</v>
      </c>
      <c r="G349" s="3" t="s">
        <v>31</v>
      </c>
      <c r="H349" s="3" t="s">
        <v>27</v>
      </c>
      <c r="I349" s="3" t="s">
        <v>28</v>
      </c>
      <c r="J349" s="3" t="s">
        <v>29</v>
      </c>
      <c r="K349"/>
    </row>
    <row r="350" spans="1:11" ht="15">
      <c r="A350" s="8" t="s">
        <v>213</v>
      </c>
      <c r="B350" s="4">
        <f>VLOOKUP(Vlookup!B310,'CDCM Forecast Data'!$A$14:$I$271,6,FALSE)</f>
        <v>0.19278921811900199</v>
      </c>
      <c r="C350" s="4">
        <f>VLOOKUP(Vlookup!C310,'CDCM Forecast Data'!$A$14:$I$271,6,FALSE)</f>
        <v>0.19278921811900199</v>
      </c>
      <c r="D350" s="4">
        <f>VLOOKUP(Vlookup!D310,'CDCM Forecast Data'!$A$14:$I$271,6,FALSE)</f>
        <v>0.19278921811900199</v>
      </c>
      <c r="E350" s="4">
        <f>VLOOKUP(Vlookup!E310,'CDCM Forecast Data'!$A$14:$I$271,6,FALSE)</f>
        <v>0.19278921811900199</v>
      </c>
      <c r="F350" s="4">
        <f>VLOOKUP(Vlookup!F310,'CDCM Forecast Data'!$A$14:$I$271,6,FALSE)</f>
        <v>0.19278921811900199</v>
      </c>
      <c r="G350" s="4">
        <f>VLOOKUP(Vlookup!G310,'CDCM Forecast Data'!$A$14:$I$271,6,FALSE)</f>
        <v>0.19278921811900199</v>
      </c>
      <c r="H350" s="4">
        <f>VLOOKUP(Vlookup!H310,'CDCM Forecast Data'!$A$14:$I$271,6,FALSE)</f>
        <v>0.19278921811900199</v>
      </c>
      <c r="I350" s="4">
        <f>VLOOKUP(Vlookup!I310,'CDCM Forecast Data'!$A$14:$I$271,6,FALSE)</f>
        <v>0.19278921811900199</v>
      </c>
      <c r="J350" s="4">
        <f>VLOOKUP(Vlookup!J310,'CDCM Forecast Data'!$A$14:$I$271,6,FALSE)</f>
        <v>0.19278921811900199</v>
      </c>
      <c r="K350" s="7" t="s">
        <v>224</v>
      </c>
    </row>
  </sheetData>
  <dataValidations count="7">
    <dataValidation type="decimal" allowBlank="1" showInputMessage="1" showErrorMessage="1" error="The number in this cell must be between 0% and 100%." sqref="B94:I94 B68:I87 B99:F104">
      <formula1>0</formula1>
      <formula2>1</formula2>
    </dataValidation>
    <dataValidation type="decimal" allowBlank="1" showInputMessage="1" showErrorMessage="1" error="The LDNO discount must be between 0% and 100%." sqref="B116">
      <formula1>0</formula1>
      <formula2>1</formula2>
    </dataValidation>
    <dataValidation type="decimal" allowBlank="1" showInputMessage="1" showErrorMessage="1" error="The coincidence factor must be between 0% and 100%." sqref="B124 B127">
      <formula1>0</formula1>
      <formula2>1</formula2>
    </dataValidation>
    <dataValidation type="textLength" operator="equal" allowBlank="1" showInputMessage="1" showErrorMessage="1" error="This cell should remain blank." sqref="B225:H225 B229:H229 B231:H231 B235:H235 B237:H237 B240:H240 B242:H242 H226:H228 H232:H234 H238:H239 H243:H244 B243:E244 B218:H218 B148:H148 B152:H152 B214:H214 B210:H210 B206:H206 B202:H202 B184:H184 B180:H180 B178:H178 B176:H176 B169:B171 B168:H168 B164:H164 B160:H160 B156:H156 B222:H222 B149:B151 E149:E151 B153:C155 E153:E155 E157:E159 B157:B159 B161:B163 E161:E163 E165:E167 B165:C167 H253:H254 B173:C175 E169:E175 B177:C177 E177 B179:C179 E179 B181:E183 B185:E187 B188:H198 B199:B201 E199:E201 B203:B205 E203:E205 B207:B209 E207:E209 B211:B213 E211:E213 B215:E217 B219:B221 E219:E221 B223:B224 E223:E224 B226:B228 E226:E228 B230 E230 B232:E234 B236:E236 B238:B239 E238:E239 B241 E241 B245:H245 B247:H247 B250:H250 B252:H252 B255:H255 H248:H249 B246:E246 B253:E254 B248:B249 E248:E249 B251 E251 B256:E256 B172:D172 F172:H172">
      <formula1>0</formula1>
    </dataValidation>
    <dataValidation type="decimal" allowBlank="1" showInputMessage="1" showErrorMessage="1" errorTitle="Invalid customer contribution" error="The customer contribution must be a non-negative percentage value." sqref="I276:I278 F278:G278 H277:H278">
      <formula1>0</formula1>
      <formula2>4</formula2>
    </dataValidation>
    <dataValidation type="decimal" operator="greaterThanOrEqual" allowBlank="1" showInputMessage="1" showErrorMessage="1" errorTitle="Volume data error" error="The volume must be a non-negative number." sqref="F223:H224 C226:D228 F230:H230 F226:G228 F236:H236 F232:G234 F241:H241 F238:G239 F243:G244 C230:D230 C238:D239 C241:D241 F215:H217 F219:H221 F211:H213 F207:H209 F203:H205 F199:H201 D173:D175 D177 D179 F185:H187 F181:H183 F179:H179 F177:H177 F173:H175 F169:H171 D165:D167 F161:H163 C157:D159 F153:H155 C149:D151 F149:H151 D153:D155 F157:H159 C161:D163 F165:H167 C169:D171 C199:D201 C203:D205 C207:D209 C211:D213 C219:D221 C223:D224 F256:H256 F246:H246 F251:H251 F248:G249 C248:D249 C251:D251 F253:G254">
      <formula1>0</formula1>
    </dataValidation>
    <dataValidation type="decimal" operator="greaterThanOrEqual" allowBlank="1" showInputMessage="1" showErrorMessage="1" sqref="B343">
      <formula1>0</formula1>
    </dataValidation>
  </dataValidation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L350"/>
  <sheetViews>
    <sheetView showGridLines="0" workbookViewId="0">
      <selection activeCell="A4" sqref="A4:K350"/>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1126</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224</v>
      </c>
      <c r="B5"/>
      <c r="C5"/>
      <c r="D5"/>
      <c r="E5"/>
      <c r="F5"/>
      <c r="G5"/>
      <c r="H5"/>
      <c r="I5"/>
      <c r="J5"/>
      <c r="K5"/>
    </row>
    <row r="6" spans="1:11" ht="15">
      <c r="A6"/>
      <c r="B6" s="3" t="s">
        <v>1</v>
      </c>
      <c r="C6" s="3" t="s">
        <v>2</v>
      </c>
      <c r="D6" s="3" t="s">
        <v>3</v>
      </c>
      <c r="E6"/>
      <c r="F6"/>
      <c r="G6"/>
      <c r="H6"/>
      <c r="I6"/>
      <c r="J6"/>
      <c r="K6"/>
    </row>
    <row r="7" spans="1:11" ht="15">
      <c r="A7" s="8" t="s">
        <v>4</v>
      </c>
      <c r="B7" s="9">
        <f>VLOOKUP(Vlookup!B7,'CDCM Forecast Data'!$A$14:$I$271,7,FALSE)</f>
        <v>0</v>
      </c>
      <c r="C7" s="9">
        <f>VLOOKUP(Vlookup!C7,'CDCM Forecast Data'!$A$14:$I$271,7,FALSE)</f>
        <v>0</v>
      </c>
      <c r="D7" s="9">
        <f>VLOOKUP(Vlookup!D7,'CDCM Forecast Data'!$A$14:$I$271,7,FALSE)</f>
        <v>0</v>
      </c>
      <c r="E7" s="7" t="s">
        <v>224</v>
      </c>
      <c r="F7"/>
      <c r="G7"/>
      <c r="H7"/>
      <c r="I7"/>
      <c r="J7"/>
      <c r="K7"/>
    </row>
    <row r="8" spans="1:11" ht="15">
      <c r="A8"/>
      <c r="B8"/>
      <c r="C8"/>
      <c r="D8"/>
      <c r="E8"/>
      <c r="F8"/>
      <c r="G8"/>
      <c r="H8"/>
      <c r="I8"/>
      <c r="J8"/>
      <c r="K8"/>
    </row>
    <row r="9" spans="1:11" ht="19.5">
      <c r="A9" s="1" t="s">
        <v>7</v>
      </c>
      <c r="B9"/>
      <c r="C9"/>
      <c r="D9"/>
      <c r="E9"/>
      <c r="F9"/>
      <c r="G9"/>
      <c r="H9"/>
      <c r="I9"/>
      <c r="J9"/>
      <c r="K9"/>
    </row>
    <row r="10" spans="1:11" ht="15">
      <c r="A10" s="2"/>
      <c r="B10"/>
      <c r="C10"/>
      <c r="D10"/>
      <c r="E10"/>
      <c r="F10"/>
      <c r="G10"/>
      <c r="H10"/>
      <c r="I10"/>
      <c r="J10"/>
      <c r="K10"/>
    </row>
    <row r="11" spans="1:11" ht="15">
      <c r="A11" s="2" t="s">
        <v>8</v>
      </c>
      <c r="B11"/>
      <c r="C11"/>
      <c r="D11"/>
      <c r="E11"/>
      <c r="F11"/>
      <c r="G11"/>
      <c r="H11"/>
      <c r="I11"/>
      <c r="J11"/>
      <c r="K11"/>
    </row>
    <row r="12" spans="1:11" ht="15">
      <c r="A12" t="s">
        <v>9</v>
      </c>
      <c r="B12"/>
      <c r="C12"/>
      <c r="D12"/>
      <c r="E12"/>
      <c r="F12"/>
      <c r="G12"/>
      <c r="H12"/>
      <c r="I12"/>
      <c r="J12"/>
      <c r="K12"/>
    </row>
    <row r="13" spans="1:11" ht="45">
      <c r="A13"/>
      <c r="B13" s="3" t="s">
        <v>10</v>
      </c>
      <c r="C13" s="3" t="s">
        <v>11</v>
      </c>
      <c r="D13" s="3" t="s">
        <v>12</v>
      </c>
      <c r="E13" s="3" t="s">
        <v>13</v>
      </c>
      <c r="F13" s="3" t="s">
        <v>1050</v>
      </c>
      <c r="G13"/>
      <c r="H13"/>
      <c r="I13"/>
      <c r="J13"/>
      <c r="K13"/>
    </row>
    <row r="14" spans="1:11" ht="15">
      <c r="A14" s="8" t="s">
        <v>14</v>
      </c>
      <c r="B14" s="11">
        <f>VLOOKUP(Vlookup!B14,'CDCM Forecast Data'!$A$14:$I$271,7,FALSE)</f>
        <v>4.2099999999999999E-2</v>
      </c>
      <c r="C14" s="10">
        <f>VLOOKUP(Vlookup!C14,'CDCM Forecast Data'!$A$14:$I$271,7,FALSE)</f>
        <v>40</v>
      </c>
      <c r="D14" s="5"/>
      <c r="E14" s="4">
        <f>VLOOKUP(Vlookup!E14,'CDCM Forecast Data'!$A$14:$I$271,7,FALSE)</f>
        <v>0.95</v>
      </c>
      <c r="F14" s="10">
        <f>VLOOKUP(Vlookup!F14,'CDCM Forecast Data'!$A$14:$I$271,7,FALSE)</f>
        <v>366</v>
      </c>
      <c r="G14" s="7" t="s">
        <v>224</v>
      </c>
      <c r="H14"/>
      <c r="I14"/>
      <c r="J14"/>
      <c r="K14"/>
    </row>
    <row r="15" spans="1:11" ht="15">
      <c r="A15"/>
      <c r="B15"/>
      <c r="C15"/>
      <c r="D15"/>
      <c r="E15"/>
      <c r="F15"/>
      <c r="G15"/>
      <c r="H15"/>
      <c r="I15"/>
      <c r="J15"/>
      <c r="K15"/>
    </row>
    <row r="16" spans="1:11" ht="19.5">
      <c r="A16" s="1" t="s">
        <v>15</v>
      </c>
      <c r="B16"/>
      <c r="C16"/>
      <c r="D16"/>
      <c r="E16"/>
      <c r="F16"/>
      <c r="G16"/>
      <c r="H16"/>
      <c r="I16"/>
      <c r="J16"/>
      <c r="K16"/>
    </row>
    <row r="17" spans="1:11" ht="15">
      <c r="A17" s="2"/>
      <c r="B17"/>
      <c r="C17"/>
      <c r="D17"/>
      <c r="E17"/>
      <c r="F17"/>
      <c r="G17"/>
      <c r="H17"/>
      <c r="I17"/>
      <c r="J17"/>
      <c r="K17"/>
    </row>
    <row r="18" spans="1:11" ht="15">
      <c r="A18" s="2" t="s">
        <v>16</v>
      </c>
      <c r="B18"/>
      <c r="C18"/>
      <c r="D18"/>
      <c r="E18"/>
      <c r="F18"/>
      <c r="G18"/>
      <c r="H18"/>
      <c r="I18"/>
      <c r="J18"/>
      <c r="K18"/>
    </row>
    <row r="19" spans="1:11" ht="15">
      <c r="A19" s="2" t="s">
        <v>17</v>
      </c>
      <c r="B19"/>
      <c r="C19"/>
      <c r="D19"/>
      <c r="E19"/>
      <c r="F19"/>
      <c r="G19"/>
      <c r="H19"/>
      <c r="I19"/>
      <c r="J19"/>
      <c r="K19"/>
    </row>
    <row r="20" spans="1:11" ht="15">
      <c r="A20" s="2" t="s">
        <v>18</v>
      </c>
      <c r="B20"/>
      <c r="C20"/>
      <c r="D20"/>
      <c r="E20"/>
      <c r="F20"/>
      <c r="G20"/>
      <c r="H20"/>
      <c r="I20"/>
      <c r="J20"/>
      <c r="K20"/>
    </row>
    <row r="21" spans="1:11" ht="15">
      <c r="A21" s="2" t="s">
        <v>19</v>
      </c>
      <c r="B21"/>
      <c r="C21"/>
      <c r="D21"/>
      <c r="E21"/>
      <c r="F21"/>
      <c r="G21"/>
      <c r="H21"/>
      <c r="I21"/>
      <c r="J21"/>
      <c r="K21"/>
    </row>
    <row r="22" spans="1:11" ht="15">
      <c r="A22" t="s">
        <v>20</v>
      </c>
      <c r="B22"/>
      <c r="C22"/>
      <c r="D22"/>
      <c r="E22"/>
      <c r="F22"/>
      <c r="G22"/>
      <c r="H22"/>
      <c r="I22"/>
      <c r="J22"/>
      <c r="K22"/>
    </row>
    <row r="23" spans="1:11" ht="60">
      <c r="A23"/>
      <c r="B23" s="3" t="s">
        <v>21</v>
      </c>
      <c r="C23"/>
      <c r="D23"/>
      <c r="E23"/>
      <c r="F23"/>
      <c r="G23"/>
      <c r="H23"/>
      <c r="I23"/>
      <c r="J23"/>
      <c r="K23"/>
    </row>
    <row r="24" spans="1:11" ht="15">
      <c r="A24" s="8" t="s">
        <v>22</v>
      </c>
      <c r="B24" s="11">
        <f>VLOOKUP(Vlookup!B24,'CDCM Forecast Data'!$A$14:$I$271,7,FALSE)</f>
        <v>2.1999999999999999E-2</v>
      </c>
      <c r="C24" s="7" t="s">
        <v>224</v>
      </c>
      <c r="D24"/>
      <c r="E24"/>
      <c r="F24"/>
      <c r="G24"/>
      <c r="H24"/>
      <c r="I24"/>
      <c r="J24"/>
      <c r="K24"/>
    </row>
    <row r="25" spans="1:11" ht="15">
      <c r="A25" s="8" t="s">
        <v>23</v>
      </c>
      <c r="B25" s="11">
        <f>VLOOKUP(Vlookup!B25,'CDCM Forecast Data'!$A$14:$I$271,7,FALSE)</f>
        <v>3.1E-2</v>
      </c>
      <c r="C25" s="7" t="s">
        <v>224</v>
      </c>
      <c r="D25"/>
      <c r="E25"/>
      <c r="F25"/>
      <c r="G25"/>
      <c r="H25"/>
      <c r="I25"/>
      <c r="J25"/>
      <c r="K25"/>
    </row>
    <row r="26" spans="1:11" ht="15">
      <c r="A26" s="8" t="s">
        <v>24</v>
      </c>
      <c r="B26" s="6"/>
      <c r="C26" s="7" t="s">
        <v>224</v>
      </c>
      <c r="D26"/>
      <c r="E26"/>
      <c r="F26"/>
      <c r="G26"/>
      <c r="H26"/>
      <c r="I26"/>
      <c r="J26"/>
      <c r="K26"/>
    </row>
    <row r="27" spans="1:11" ht="15">
      <c r="A27" s="8" t="s">
        <v>25</v>
      </c>
      <c r="B27" s="11">
        <f>VLOOKUP(Vlookup!B27,'CDCM Forecast Data'!$A$14:$I$271,7,FALSE)</f>
        <v>7.4999999999999997E-2</v>
      </c>
      <c r="C27" s="7" t="s">
        <v>224</v>
      </c>
      <c r="D27"/>
      <c r="E27"/>
      <c r="F27"/>
      <c r="G27"/>
      <c r="H27"/>
      <c r="I27"/>
      <c r="J27"/>
      <c r="K27"/>
    </row>
    <row r="28" spans="1:11" ht="15">
      <c r="A28" s="8" t="s">
        <v>26</v>
      </c>
      <c r="B28" s="6"/>
      <c r="C28" s="7" t="s">
        <v>224</v>
      </c>
      <c r="D28"/>
      <c r="E28"/>
      <c r="F28"/>
      <c r="G28"/>
      <c r="H28"/>
      <c r="I28"/>
      <c r="J28"/>
      <c r="K28"/>
    </row>
    <row r="29" spans="1:11" ht="15">
      <c r="A29" s="8" t="s">
        <v>27</v>
      </c>
      <c r="B29" s="11">
        <f>VLOOKUP(Vlookup!B29,'CDCM Forecast Data'!$A$14:$I$271,7,FALSE)</f>
        <v>0.37</v>
      </c>
      <c r="C29" s="7" t="s">
        <v>224</v>
      </c>
      <c r="D29"/>
      <c r="E29"/>
      <c r="F29"/>
      <c r="G29"/>
      <c r="H29"/>
      <c r="I29"/>
      <c r="J29"/>
      <c r="K29"/>
    </row>
    <row r="30" spans="1:11" ht="15">
      <c r="A30" s="8" t="s">
        <v>28</v>
      </c>
      <c r="B30" s="6"/>
      <c r="C30" s="7" t="s">
        <v>224</v>
      </c>
      <c r="D30"/>
      <c r="E30"/>
      <c r="F30"/>
      <c r="G30"/>
      <c r="H30"/>
      <c r="I30"/>
      <c r="J30"/>
      <c r="K30"/>
    </row>
    <row r="31" spans="1:11" ht="15">
      <c r="A31" s="8" t="s">
        <v>29</v>
      </c>
      <c r="B31" s="6"/>
      <c r="C31" s="7" t="s">
        <v>224</v>
      </c>
      <c r="D31"/>
      <c r="E31"/>
      <c r="F31"/>
      <c r="G31"/>
      <c r="H31"/>
      <c r="I31"/>
      <c r="J31"/>
      <c r="K31"/>
    </row>
    <row r="32" spans="1:11" ht="15">
      <c r="A32"/>
      <c r="B32"/>
      <c r="C32"/>
      <c r="D32"/>
      <c r="E32"/>
      <c r="F32"/>
      <c r="G32"/>
      <c r="H32"/>
      <c r="I32"/>
      <c r="J32"/>
      <c r="K32"/>
    </row>
    <row r="33" spans="1:11" ht="19.5">
      <c r="A33" s="1" t="s">
        <v>30</v>
      </c>
      <c r="B33"/>
      <c r="C33"/>
      <c r="D33"/>
      <c r="E33"/>
      <c r="F33"/>
      <c r="G33"/>
      <c r="H33"/>
      <c r="I33"/>
      <c r="J33"/>
      <c r="K33"/>
    </row>
    <row r="34" spans="1:11" ht="15">
      <c r="A34" t="s">
        <v>224</v>
      </c>
      <c r="B34"/>
      <c r="C34"/>
      <c r="D34"/>
      <c r="E34"/>
      <c r="F34"/>
      <c r="G34"/>
      <c r="H34"/>
      <c r="I34"/>
      <c r="J34"/>
      <c r="K34"/>
    </row>
    <row r="35" spans="1:11" ht="15">
      <c r="A35"/>
      <c r="B35" s="3" t="s">
        <v>31</v>
      </c>
      <c r="C35"/>
      <c r="D35"/>
      <c r="E35"/>
      <c r="F35"/>
      <c r="G35"/>
      <c r="H35"/>
      <c r="I35"/>
      <c r="J35"/>
      <c r="K35"/>
    </row>
    <row r="36" spans="1:11" ht="15">
      <c r="A36" s="8" t="s">
        <v>26</v>
      </c>
      <c r="B36" s="11">
        <f>VLOOKUP(Vlookup!B36,'CDCM Forecast Data'!$A$14:$I$271,7,FALSE)</f>
        <v>0</v>
      </c>
      <c r="C36" s="7" t="s">
        <v>224</v>
      </c>
      <c r="D36"/>
      <c r="E36"/>
      <c r="F36"/>
      <c r="G36"/>
      <c r="H36"/>
      <c r="I36"/>
      <c r="J36"/>
      <c r="K36"/>
    </row>
    <row r="37" spans="1:11" ht="15">
      <c r="A37"/>
      <c r="B37"/>
      <c r="C37"/>
      <c r="D37"/>
      <c r="E37"/>
      <c r="F37"/>
      <c r="G37"/>
      <c r="H37"/>
      <c r="I37"/>
      <c r="J37"/>
      <c r="K37"/>
    </row>
    <row r="38" spans="1:11" ht="19.5">
      <c r="A38" s="1" t="s">
        <v>32</v>
      </c>
      <c r="B38"/>
      <c r="C38"/>
      <c r="D38"/>
      <c r="E38"/>
      <c r="F38"/>
      <c r="G38"/>
      <c r="H38"/>
      <c r="I38"/>
      <c r="J38"/>
      <c r="K38"/>
    </row>
    <row r="39" spans="1:11" ht="15">
      <c r="A39"/>
      <c r="B39"/>
      <c r="C39"/>
      <c r="D39"/>
      <c r="E39"/>
      <c r="F39"/>
      <c r="G39"/>
      <c r="H39"/>
      <c r="I39"/>
      <c r="J39"/>
      <c r="K39"/>
    </row>
    <row r="40" spans="1:11" ht="30">
      <c r="A40"/>
      <c r="B40" s="3" t="s">
        <v>33</v>
      </c>
      <c r="C40"/>
      <c r="D40"/>
      <c r="E40"/>
      <c r="F40"/>
      <c r="G40"/>
      <c r="H40"/>
      <c r="I40"/>
      <c r="J40"/>
      <c r="K40"/>
    </row>
    <row r="41" spans="1:11" ht="15">
      <c r="A41" s="8" t="s">
        <v>33</v>
      </c>
      <c r="B41" s="10">
        <f>VLOOKUP(Vlookup!B41,'CDCM Forecast Data'!$A$14:$I$271,7,FALSE)</f>
        <v>500</v>
      </c>
      <c r="C41" s="7" t="s">
        <v>224</v>
      </c>
      <c r="D41"/>
      <c r="E41"/>
      <c r="F41"/>
      <c r="G41"/>
      <c r="H41"/>
      <c r="I41"/>
      <c r="J41"/>
      <c r="K41"/>
    </row>
    <row r="42" spans="1:11" ht="15">
      <c r="A42"/>
      <c r="B42"/>
      <c r="C42"/>
      <c r="D42"/>
      <c r="E42"/>
      <c r="F42"/>
      <c r="G42"/>
      <c r="H42"/>
      <c r="I42"/>
      <c r="J42"/>
      <c r="K42"/>
    </row>
    <row r="43" spans="1:11" ht="19.5">
      <c r="A43" s="1" t="s">
        <v>34</v>
      </c>
      <c r="B43"/>
      <c r="C43"/>
      <c r="D43"/>
      <c r="E43"/>
      <c r="F43"/>
      <c r="G43"/>
      <c r="H43"/>
      <c r="I43"/>
      <c r="J43"/>
      <c r="K43"/>
    </row>
    <row r="44" spans="1:11" ht="15">
      <c r="A44"/>
      <c r="B44"/>
      <c r="C44"/>
      <c r="D44"/>
      <c r="E44"/>
      <c r="F44"/>
      <c r="G44"/>
      <c r="H44"/>
      <c r="I44"/>
      <c r="J44"/>
      <c r="K44"/>
    </row>
    <row r="45" spans="1:11" ht="15">
      <c r="A45"/>
      <c r="B45" s="3" t="s">
        <v>35</v>
      </c>
      <c r="C45"/>
      <c r="D45"/>
      <c r="E45"/>
      <c r="F45"/>
      <c r="G45"/>
      <c r="H45"/>
      <c r="I45"/>
      <c r="J45"/>
      <c r="K45"/>
    </row>
    <row r="46" spans="1:11" ht="15">
      <c r="A46" s="8" t="s">
        <v>23</v>
      </c>
      <c r="B46" s="10">
        <f>VLOOKUP(Vlookup!B46,'CDCM Forecast Data'!$A$14:$I$271,7,FALSE)</f>
        <v>125756993.95118538</v>
      </c>
      <c r="C46" s="7" t="s">
        <v>224</v>
      </c>
      <c r="D46"/>
      <c r="E46"/>
      <c r="F46"/>
      <c r="G46"/>
      <c r="H46"/>
      <c r="I46"/>
      <c r="J46"/>
      <c r="K46"/>
    </row>
    <row r="47" spans="1:11" ht="15">
      <c r="A47" s="8" t="s">
        <v>24</v>
      </c>
      <c r="B47" s="10">
        <f>VLOOKUP(Vlookup!B47,'CDCM Forecast Data'!$A$14:$I$271,7,FALSE)</f>
        <v>17812126.212686218</v>
      </c>
      <c r="C47" s="7" t="s">
        <v>224</v>
      </c>
      <c r="D47"/>
      <c r="E47"/>
      <c r="F47"/>
      <c r="G47"/>
      <c r="H47"/>
      <c r="I47"/>
      <c r="J47"/>
      <c r="K47"/>
    </row>
    <row r="48" spans="1:11" ht="15">
      <c r="A48" s="8" t="s">
        <v>25</v>
      </c>
      <c r="B48" s="10">
        <f>VLOOKUP(Vlookup!B48,'CDCM Forecast Data'!$A$14:$I$271,7,FALSE)</f>
        <v>44966658.732678734</v>
      </c>
      <c r="C48" s="7" t="s">
        <v>224</v>
      </c>
      <c r="D48"/>
      <c r="E48"/>
      <c r="F48"/>
      <c r="G48"/>
      <c r="H48"/>
      <c r="I48"/>
      <c r="J48"/>
      <c r="K48"/>
    </row>
    <row r="49" spans="1:11" ht="15">
      <c r="A49" s="8" t="s">
        <v>26</v>
      </c>
      <c r="B49" s="10">
        <f>VLOOKUP(Vlookup!B49,'CDCM Forecast Data'!$A$14:$I$271,7,FALSE)</f>
        <v>45193569.499729224</v>
      </c>
      <c r="C49" s="7" t="s">
        <v>224</v>
      </c>
      <c r="D49"/>
      <c r="E49"/>
      <c r="F49"/>
      <c r="G49"/>
      <c r="H49"/>
      <c r="I49"/>
      <c r="J49"/>
      <c r="K49"/>
    </row>
    <row r="50" spans="1:11" ht="15">
      <c r="A50" s="8" t="s">
        <v>31</v>
      </c>
      <c r="B50" s="10">
        <f>VLOOKUP(Vlookup!B50,'CDCM Forecast Data'!$A$14:$I$271,7,FALSE)</f>
        <v>0</v>
      </c>
      <c r="C50" s="7" t="s">
        <v>224</v>
      </c>
      <c r="D50"/>
      <c r="E50"/>
      <c r="F50"/>
      <c r="G50"/>
      <c r="H50"/>
      <c r="I50"/>
      <c r="J50"/>
      <c r="K50"/>
    </row>
    <row r="51" spans="1:11" ht="15">
      <c r="A51" s="8" t="s">
        <v>27</v>
      </c>
      <c r="B51" s="10">
        <f>VLOOKUP(Vlookup!B51,'CDCM Forecast Data'!$A$14:$I$271,7,FALSE)</f>
        <v>160952708.9943077</v>
      </c>
      <c r="C51" s="7" t="s">
        <v>224</v>
      </c>
      <c r="D51"/>
      <c r="E51"/>
      <c r="F51"/>
      <c r="G51"/>
      <c r="H51"/>
      <c r="I51"/>
      <c r="J51"/>
      <c r="K51"/>
    </row>
    <row r="52" spans="1:11" ht="15">
      <c r="A52" s="8" t="s">
        <v>28</v>
      </c>
      <c r="B52" s="10">
        <f>VLOOKUP(Vlookup!B52,'CDCM Forecast Data'!$A$14:$I$271,7,FALSE)</f>
        <v>68588842.736494973</v>
      </c>
      <c r="C52" s="7" t="s">
        <v>224</v>
      </c>
      <c r="D52"/>
      <c r="E52"/>
      <c r="F52"/>
      <c r="G52"/>
      <c r="H52"/>
      <c r="I52"/>
      <c r="J52"/>
      <c r="K52"/>
    </row>
    <row r="53" spans="1:11" ht="15">
      <c r="A53" s="8" t="s">
        <v>29</v>
      </c>
      <c r="B53" s="10">
        <f>VLOOKUP(Vlookup!B53,'CDCM Forecast Data'!$A$14:$I$271,7,FALSE)</f>
        <v>147310723.71013978</v>
      </c>
      <c r="C53" s="7" t="s">
        <v>224</v>
      </c>
      <c r="D53"/>
      <c r="E53"/>
      <c r="F53"/>
      <c r="G53"/>
      <c r="H53"/>
      <c r="I53"/>
      <c r="J53"/>
      <c r="K53"/>
    </row>
    <row r="54" spans="1:11" ht="15">
      <c r="A54"/>
      <c r="B54"/>
      <c r="C54"/>
      <c r="D54"/>
      <c r="E54"/>
      <c r="F54"/>
      <c r="G54"/>
      <c r="H54"/>
      <c r="I54"/>
      <c r="J54"/>
      <c r="K54"/>
    </row>
    <row r="55" spans="1:11" ht="19.5">
      <c r="A55" s="1" t="s">
        <v>36</v>
      </c>
      <c r="B55"/>
      <c r="C55"/>
      <c r="D55"/>
      <c r="E55"/>
      <c r="F55"/>
      <c r="G55"/>
      <c r="H55"/>
      <c r="I55"/>
      <c r="J55"/>
      <c r="K55"/>
    </row>
    <row r="56" spans="1:11" ht="15">
      <c r="A56"/>
      <c r="B56"/>
      <c r="C56"/>
      <c r="D56"/>
      <c r="E56"/>
      <c r="F56"/>
      <c r="G56"/>
      <c r="H56"/>
      <c r="I56"/>
      <c r="J56"/>
      <c r="K56"/>
    </row>
    <row r="57" spans="1:11" ht="15">
      <c r="A57"/>
      <c r="B57" s="3" t="s">
        <v>37</v>
      </c>
      <c r="C57" s="3" t="s">
        <v>38</v>
      </c>
      <c r="D57" s="3" t="s">
        <v>39</v>
      </c>
      <c r="E57" s="3" t="s">
        <v>40</v>
      </c>
      <c r="F57" s="3" t="s">
        <v>41</v>
      </c>
      <c r="G57" s="3" t="s">
        <v>42</v>
      </c>
      <c r="H57" s="3" t="s">
        <v>43</v>
      </c>
      <c r="I57" s="3" t="s">
        <v>44</v>
      </c>
      <c r="J57"/>
      <c r="K57"/>
    </row>
    <row r="58" spans="1:11" ht="15">
      <c r="A58" s="8" t="s">
        <v>45</v>
      </c>
      <c r="B58" s="10">
        <f>VLOOKUP(Vlookup!B58,'CDCM Forecast Data'!$A$14:$I$271,7,FALSE)</f>
        <v>5762.0901089465015</v>
      </c>
      <c r="C58" s="10">
        <f>VLOOKUP(Vlookup!C58,'CDCM Forecast Data'!$A$14:$I$271,7,FALSE)</f>
        <v>648.17752850807153</v>
      </c>
      <c r="D58" s="10">
        <f>VLOOKUP(Vlookup!D58,'CDCM Forecast Data'!$A$14:$I$271,7,FALSE)</f>
        <v>789.15152303742173</v>
      </c>
      <c r="E58" s="10">
        <f>VLOOKUP(Vlookup!E58,'CDCM Forecast Data'!$A$14:$I$271,7,FALSE)</f>
        <v>585.25052681190141</v>
      </c>
      <c r="F58" s="10">
        <f>VLOOKUP(Vlookup!F58,'CDCM Forecast Data'!$A$14:$I$271,7,FALSE)</f>
        <v>1330.4046907772624</v>
      </c>
      <c r="G58" s="10">
        <f>VLOOKUP(Vlookup!G58,'CDCM Forecast Data'!$A$14:$I$271,7,FALSE)</f>
        <v>1024.6951071216699</v>
      </c>
      <c r="H58" s="10">
        <f>VLOOKUP(Vlookup!H58,'CDCM Forecast Data'!$A$14:$I$271,7,FALSE)</f>
        <v>0</v>
      </c>
      <c r="I58" s="10">
        <f>VLOOKUP(Vlookup!I58,'CDCM Forecast Data'!$A$14:$I$271,7,FALSE)</f>
        <v>535.92151932760646</v>
      </c>
      <c r="J58" s="7" t="s">
        <v>224</v>
      </c>
      <c r="K58"/>
    </row>
    <row r="59" spans="1:11" ht="15">
      <c r="A59"/>
      <c r="B59"/>
      <c r="C59"/>
      <c r="D59"/>
      <c r="E59"/>
      <c r="F59"/>
      <c r="G59"/>
      <c r="H59"/>
      <c r="I59"/>
      <c r="J59"/>
      <c r="K59"/>
    </row>
    <row r="60" spans="1:11" ht="19.5">
      <c r="A60" s="1" t="s">
        <v>46</v>
      </c>
      <c r="B60"/>
      <c r="C60"/>
      <c r="D60"/>
      <c r="E60"/>
      <c r="F60"/>
      <c r="G60"/>
      <c r="H60"/>
      <c r="I60"/>
      <c r="J60"/>
      <c r="K60"/>
    </row>
    <row r="61" spans="1:11" ht="15">
      <c r="A61"/>
      <c r="B61"/>
      <c r="C61"/>
      <c r="D61"/>
      <c r="E61"/>
      <c r="F61"/>
      <c r="G61"/>
      <c r="H61"/>
      <c r="I61"/>
      <c r="J61"/>
      <c r="K61"/>
    </row>
    <row r="62" spans="1:11" ht="15">
      <c r="A62"/>
      <c r="B62" s="3" t="s">
        <v>47</v>
      </c>
      <c r="C62" s="3" t="s">
        <v>48</v>
      </c>
      <c r="D62" s="3" t="s">
        <v>49</v>
      </c>
      <c r="E62" s="3" t="s">
        <v>50</v>
      </c>
      <c r="F62" s="3" t="s">
        <v>51</v>
      </c>
      <c r="G62"/>
      <c r="H62"/>
      <c r="I62"/>
      <c r="J62"/>
      <c r="K62"/>
    </row>
    <row r="63" spans="1:11" ht="15">
      <c r="A63" s="8" t="s">
        <v>52</v>
      </c>
      <c r="B63" s="10">
        <f>VLOOKUP(Vlookup!B63,'CDCM Forecast Data'!$A$14:$I$271,7,FALSE)</f>
        <v>10166.164483918272</v>
      </c>
      <c r="C63" s="10">
        <f>VLOOKUP(Vlookup!C63,'CDCM Forecast Data'!$A$14:$I$271,7,FALSE)</f>
        <v>4901.4513221703282</v>
      </c>
      <c r="D63" s="10">
        <f>VLOOKUP(Vlookup!D63,'CDCM Forecast Data'!$A$14:$I$271,7,FALSE)</f>
        <v>0</v>
      </c>
      <c r="E63" s="10">
        <f>VLOOKUP(Vlookup!E63,'CDCM Forecast Data'!$A$14:$I$271,7,FALSE)</f>
        <v>0</v>
      </c>
      <c r="F63" s="10">
        <f>VLOOKUP(Vlookup!F63,'CDCM Forecast Data'!$A$14:$I$271,7,FALSE)</f>
        <v>0</v>
      </c>
      <c r="G63" s="7" t="s">
        <v>224</v>
      </c>
      <c r="H63"/>
      <c r="I63"/>
      <c r="J63"/>
      <c r="K63"/>
    </row>
    <row r="64" spans="1:11" ht="15">
      <c r="A64"/>
      <c r="B64"/>
      <c r="C64"/>
      <c r="D64"/>
      <c r="E64"/>
      <c r="F64"/>
      <c r="G64"/>
      <c r="H64"/>
      <c r="I64"/>
      <c r="J64"/>
      <c r="K64"/>
    </row>
    <row r="65" spans="1:11" ht="19.5">
      <c r="A65" s="1" t="s">
        <v>53</v>
      </c>
      <c r="B65"/>
      <c r="C65"/>
      <c r="D65"/>
      <c r="E65"/>
      <c r="F65"/>
      <c r="G65"/>
      <c r="H65"/>
      <c r="I65"/>
      <c r="J65"/>
      <c r="K65"/>
    </row>
    <row r="66" spans="1:11" ht="15">
      <c r="A66"/>
      <c r="B66">
        <v>18</v>
      </c>
      <c r="C66">
        <f t="shared" ref="C66:I66" si="0">B66+1</f>
        <v>19</v>
      </c>
      <c r="D66">
        <f t="shared" si="0"/>
        <v>20</v>
      </c>
      <c r="E66">
        <f t="shared" si="0"/>
        <v>21</v>
      </c>
      <c r="F66">
        <f t="shared" si="0"/>
        <v>22</v>
      </c>
      <c r="G66">
        <f t="shared" si="0"/>
        <v>23</v>
      </c>
      <c r="H66">
        <f t="shared" si="0"/>
        <v>24</v>
      </c>
      <c r="I66">
        <f t="shared" si="0"/>
        <v>25</v>
      </c>
      <c r="J66"/>
      <c r="K66"/>
    </row>
    <row r="67" spans="1:11" ht="15">
      <c r="A67"/>
      <c r="B67" s="3" t="s">
        <v>37</v>
      </c>
      <c r="C67" s="3" t="s">
        <v>38</v>
      </c>
      <c r="D67" s="3" t="s">
        <v>39</v>
      </c>
      <c r="E67" s="3" t="s">
        <v>40</v>
      </c>
      <c r="F67" s="3" t="s">
        <v>41</v>
      </c>
      <c r="G67" s="3" t="s">
        <v>42</v>
      </c>
      <c r="H67" s="3" t="s">
        <v>43</v>
      </c>
      <c r="I67" s="3" t="s">
        <v>44</v>
      </c>
      <c r="J67"/>
      <c r="K67"/>
    </row>
    <row r="68" spans="1:11" ht="15">
      <c r="A68" s="8" t="s">
        <v>54</v>
      </c>
      <c r="B68" s="11">
        <f>VLOOKUP($A68,'Mat of App'!$B$7:$AP$43,B$66,FALSE)</f>
        <v>0.05</v>
      </c>
      <c r="C68" s="11">
        <f>VLOOKUP($A68,'Mat of App'!$B$7:$AP$43,C$66,FALSE)</f>
        <v>0</v>
      </c>
      <c r="D68" s="11">
        <f>VLOOKUP($A68,'Mat of App'!$B$7:$AP$43,D$66,FALSE)</f>
        <v>0</v>
      </c>
      <c r="E68" s="11">
        <f>VLOOKUP($A68,'Mat of App'!$B$7:$AP$43,E$66,FALSE)</f>
        <v>0</v>
      </c>
      <c r="F68" s="11">
        <f>VLOOKUP($A68,'Mat of App'!$B$7:$AP$43,F$66,FALSE)</f>
        <v>0</v>
      </c>
      <c r="G68" s="11">
        <f>VLOOKUP($A68,'Mat of App'!$B$7:$AP$43,G$66,FALSE)</f>
        <v>0</v>
      </c>
      <c r="H68" s="11">
        <f>VLOOKUP($A68,'Mat of App'!$B$7:$AP$43,H$66,FALSE)</f>
        <v>0</v>
      </c>
      <c r="I68" s="11">
        <f>VLOOKUP($A68,'Mat of App'!$B$7:$AP$43,I$66,FALSE)</f>
        <v>0</v>
      </c>
      <c r="J68" s="7" t="s">
        <v>224</v>
      </c>
      <c r="K68"/>
    </row>
    <row r="69" spans="1:11" ht="15">
      <c r="A69" s="8" t="s">
        <v>55</v>
      </c>
      <c r="B69" s="11">
        <f>VLOOKUP($A69,'Mat of App'!$B$7:$AP$43,B$66,FALSE)</f>
        <v>0.05</v>
      </c>
      <c r="C69" s="11">
        <f>VLOOKUP($A69,'Mat of App'!$B$7:$AP$43,C$66,FALSE)</f>
        <v>0</v>
      </c>
      <c r="D69" s="11">
        <f>VLOOKUP($A69,'Mat of App'!$B$7:$AP$43,D$66,FALSE)</f>
        <v>0</v>
      </c>
      <c r="E69" s="11">
        <f>VLOOKUP($A69,'Mat of App'!$B$7:$AP$43,E$66,FALSE)</f>
        <v>0</v>
      </c>
      <c r="F69" s="11">
        <f>VLOOKUP($A69,'Mat of App'!$B$7:$AP$43,F$66,FALSE)</f>
        <v>0</v>
      </c>
      <c r="G69" s="11">
        <f>VLOOKUP($A69,'Mat of App'!$B$7:$AP$43,G$66,FALSE)</f>
        <v>0</v>
      </c>
      <c r="H69" s="11">
        <f>VLOOKUP($A69,'Mat of App'!$B$7:$AP$43,H$66,FALSE)</f>
        <v>0</v>
      </c>
      <c r="I69" s="11">
        <f>VLOOKUP($A69,'Mat of App'!$B$7:$AP$43,I$66,FALSE)</f>
        <v>0</v>
      </c>
      <c r="J69" s="7" t="s">
        <v>224</v>
      </c>
      <c r="K69"/>
    </row>
    <row r="70" spans="1:11" ht="15">
      <c r="A70" s="8" t="s">
        <v>56</v>
      </c>
      <c r="B70" s="11">
        <f>VLOOKUP($A70,'Mat of App'!$B$7:$AP$43,B$66,FALSE)</f>
        <v>0</v>
      </c>
      <c r="C70" s="11">
        <f>VLOOKUP($A70,'Mat of App'!$B$7:$AP$43,C$66,FALSE)</f>
        <v>1</v>
      </c>
      <c r="D70" s="11">
        <f>VLOOKUP($A70,'Mat of App'!$B$7:$AP$43,D$66,FALSE)</f>
        <v>0</v>
      </c>
      <c r="E70" s="11">
        <f>VLOOKUP($A70,'Mat of App'!$B$7:$AP$43,E$66,FALSE)</f>
        <v>0</v>
      </c>
      <c r="F70" s="11">
        <f>VLOOKUP($A70,'Mat of App'!$B$7:$AP$43,F$66,FALSE)</f>
        <v>0</v>
      </c>
      <c r="G70" s="11">
        <f>VLOOKUP($A70,'Mat of App'!$B$7:$AP$43,G$66,FALSE)</f>
        <v>0</v>
      </c>
      <c r="H70" s="11">
        <f>VLOOKUP($A70,'Mat of App'!$B$7:$AP$43,H$66,FALSE)</f>
        <v>0</v>
      </c>
      <c r="I70" s="11">
        <f>VLOOKUP($A70,'Mat of App'!$B$7:$AP$43,I$66,FALSE)</f>
        <v>0</v>
      </c>
      <c r="J70" s="7" t="s">
        <v>224</v>
      </c>
      <c r="K70"/>
    </row>
    <row r="71" spans="1:11" ht="15">
      <c r="A71" s="8" t="s">
        <v>57</v>
      </c>
      <c r="B71" s="11">
        <f>VLOOKUP($A71,'Mat of App'!$B$7:$AP$43,B$66,FALSE)</f>
        <v>0</v>
      </c>
      <c r="C71" s="11">
        <f>VLOOKUP($A71,'Mat of App'!$B$7:$AP$43,C$66,FALSE)</f>
        <v>1</v>
      </c>
      <c r="D71" s="11">
        <f>VLOOKUP($A71,'Mat of App'!$B$7:$AP$43,D$66,FALSE)</f>
        <v>0</v>
      </c>
      <c r="E71" s="11">
        <f>VLOOKUP($A71,'Mat of App'!$B$7:$AP$43,E$66,FALSE)</f>
        <v>0</v>
      </c>
      <c r="F71" s="11">
        <f>VLOOKUP($A71,'Mat of App'!$B$7:$AP$43,F$66,FALSE)</f>
        <v>0</v>
      </c>
      <c r="G71" s="11">
        <f>VLOOKUP($A71,'Mat of App'!$B$7:$AP$43,G$66,FALSE)</f>
        <v>0</v>
      </c>
      <c r="H71" s="11">
        <f>VLOOKUP($A71,'Mat of App'!$B$7:$AP$43,H$66,FALSE)</f>
        <v>0</v>
      </c>
      <c r="I71" s="11">
        <f>VLOOKUP($A71,'Mat of App'!$B$7:$AP$43,I$66,FALSE)</f>
        <v>0</v>
      </c>
      <c r="J71" s="7" t="s">
        <v>224</v>
      </c>
      <c r="K71"/>
    </row>
    <row r="72" spans="1:11" ht="15">
      <c r="A72" s="8" t="s">
        <v>58</v>
      </c>
      <c r="B72" s="11">
        <f>VLOOKUP($A72,'Mat of App'!$B$7:$AP$43,B$66,FALSE)</f>
        <v>0</v>
      </c>
      <c r="C72" s="11">
        <f>VLOOKUP($A72,'Mat of App'!$B$7:$AP$43,C$66,FALSE)</f>
        <v>0</v>
      </c>
      <c r="D72" s="11">
        <f>VLOOKUP($A72,'Mat of App'!$B$7:$AP$43,D$66,FALSE)</f>
        <v>1</v>
      </c>
      <c r="E72" s="11">
        <f>VLOOKUP($A72,'Mat of App'!$B$7:$AP$43,E$66,FALSE)</f>
        <v>0</v>
      </c>
      <c r="F72" s="11">
        <f>VLOOKUP($A72,'Mat of App'!$B$7:$AP$43,F$66,FALSE)</f>
        <v>0</v>
      </c>
      <c r="G72" s="11">
        <f>VLOOKUP($A72,'Mat of App'!$B$7:$AP$43,G$66,FALSE)</f>
        <v>0</v>
      </c>
      <c r="H72" s="11">
        <f>VLOOKUP($A72,'Mat of App'!$B$7:$AP$43,H$66,FALSE)</f>
        <v>0</v>
      </c>
      <c r="I72" s="11">
        <f>VLOOKUP($A72,'Mat of App'!$B$7:$AP$43,I$66,FALSE)</f>
        <v>0</v>
      </c>
      <c r="J72" s="7"/>
      <c r="K72"/>
    </row>
    <row r="73" spans="1:11" ht="15">
      <c r="A73" s="8" t="s">
        <v>59</v>
      </c>
      <c r="B73" s="11">
        <f>VLOOKUP($A73,'Mat of App'!$B$7:$AP$43,B$66,FALSE)</f>
        <v>0</v>
      </c>
      <c r="C73" s="11">
        <f>VLOOKUP($A73,'Mat of App'!$B$7:$AP$43,C$66,FALSE)</f>
        <v>0</v>
      </c>
      <c r="D73" s="11">
        <f>VLOOKUP($A73,'Mat of App'!$B$7:$AP$43,D$66,FALSE)</f>
        <v>0</v>
      </c>
      <c r="E73" s="11">
        <f>VLOOKUP($A73,'Mat of App'!$B$7:$AP$43,E$66,FALSE)</f>
        <v>1</v>
      </c>
      <c r="F73" s="11">
        <f>VLOOKUP($A73,'Mat of App'!$B$7:$AP$43,F$66,FALSE)</f>
        <v>0</v>
      </c>
      <c r="G73" s="11">
        <f>VLOOKUP($A73,'Mat of App'!$B$7:$AP$43,G$66,FALSE)</f>
        <v>0</v>
      </c>
      <c r="H73" s="11">
        <f>VLOOKUP($A73,'Mat of App'!$B$7:$AP$43,H$66,FALSE)</f>
        <v>0</v>
      </c>
      <c r="I73" s="11">
        <f>VLOOKUP($A73,'Mat of App'!$B$7:$AP$43,I$66,FALSE)</f>
        <v>0</v>
      </c>
      <c r="J73" s="7"/>
      <c r="K73"/>
    </row>
    <row r="74" spans="1:11" ht="15">
      <c r="A74" s="8" t="s">
        <v>1178</v>
      </c>
      <c r="B74" s="11">
        <f>VLOOKUP($A74,'Mat of App'!$B$7:$AP$43,B$66,FALSE)</f>
        <v>0.05</v>
      </c>
      <c r="C74" s="11">
        <f>VLOOKUP($A74,'Mat of App'!$B$7:$AP$43,C$66,FALSE)</f>
        <v>0</v>
      </c>
      <c r="D74" s="11">
        <f>VLOOKUP($A74,'Mat of App'!$B$7:$AP$43,D$66,FALSE)</f>
        <v>0</v>
      </c>
      <c r="E74" s="11">
        <f>VLOOKUP($A74,'Mat of App'!$B$7:$AP$43,E$66,FALSE)</f>
        <v>0</v>
      </c>
      <c r="F74" s="11">
        <f>VLOOKUP($A74,'Mat of App'!$B$7:$AP$43,F$66,FALSE)</f>
        <v>0</v>
      </c>
      <c r="G74" s="11">
        <f>VLOOKUP($A74,'Mat of App'!$B$7:$AP$43,G$66,FALSE)</f>
        <v>0</v>
      </c>
      <c r="H74" s="11">
        <f>VLOOKUP($A74,'Mat of App'!$B$7:$AP$43,H$66,FALSE)</f>
        <v>0</v>
      </c>
      <c r="I74" s="11">
        <f>VLOOKUP($A74,'Mat of App'!$B$7:$AP$43,I$66,FALSE)</f>
        <v>0</v>
      </c>
      <c r="J74" s="7" t="s">
        <v>224</v>
      </c>
      <c r="K74"/>
    </row>
    <row r="75" spans="1:11" ht="15">
      <c r="A75" s="8" t="s">
        <v>1177</v>
      </c>
      <c r="B75" s="11">
        <f>VLOOKUP($A75,'Mat of App'!$B$7:$AP$43,B$66,FALSE)</f>
        <v>0</v>
      </c>
      <c r="C75" s="11">
        <f>VLOOKUP($A75,'Mat of App'!$B$7:$AP$43,C$66,FALSE)</f>
        <v>1</v>
      </c>
      <c r="D75" s="11">
        <f>VLOOKUP($A75,'Mat of App'!$B$7:$AP$43,D$66,FALSE)</f>
        <v>0</v>
      </c>
      <c r="E75" s="11">
        <f>VLOOKUP($A75,'Mat of App'!$B$7:$AP$43,E$66,FALSE)</f>
        <v>0</v>
      </c>
      <c r="F75" s="11">
        <f>VLOOKUP($A75,'Mat of App'!$B$7:$AP$43,F$66,FALSE)</f>
        <v>0</v>
      </c>
      <c r="G75" s="11">
        <f>VLOOKUP($A75,'Mat of App'!$B$7:$AP$43,G$66,FALSE)</f>
        <v>0</v>
      </c>
      <c r="H75" s="11">
        <f>VLOOKUP($A75,'Mat of App'!$B$7:$AP$43,H$66,FALSE)</f>
        <v>0</v>
      </c>
      <c r="I75" s="11">
        <f>VLOOKUP($A75,'Mat of App'!$B$7:$AP$43,I$66,FALSE)</f>
        <v>0</v>
      </c>
      <c r="J75" s="7" t="s">
        <v>224</v>
      </c>
      <c r="K75"/>
    </row>
    <row r="76" spans="1:11" ht="15">
      <c r="A76" s="8" t="s">
        <v>60</v>
      </c>
      <c r="B76" s="11">
        <f>VLOOKUP($A76,'Mat of App'!$B$7:$AP$43,B$66,FALSE)</f>
        <v>0</v>
      </c>
      <c r="C76" s="11">
        <f>VLOOKUP($A76,'Mat of App'!$B$7:$AP$43,C$66,FALSE)</f>
        <v>0</v>
      </c>
      <c r="D76" s="11">
        <f>VLOOKUP($A76,'Mat of App'!$B$7:$AP$43,D$66,FALSE)</f>
        <v>0</v>
      </c>
      <c r="E76" s="11">
        <f>VLOOKUP($A76,'Mat of App'!$B$7:$AP$43,E$66,FALSE)</f>
        <v>0</v>
      </c>
      <c r="F76" s="11">
        <f>VLOOKUP($A76,'Mat of App'!$B$7:$AP$43,F$66,FALSE)</f>
        <v>1</v>
      </c>
      <c r="G76" s="11">
        <f>VLOOKUP($A76,'Mat of App'!$B$7:$AP$43,G$66,FALSE)</f>
        <v>0</v>
      </c>
      <c r="H76" s="11">
        <f>VLOOKUP($A76,'Mat of App'!$B$7:$AP$43,H$66,FALSE)</f>
        <v>0</v>
      </c>
      <c r="I76" s="11">
        <f>VLOOKUP($A76,'Mat of App'!$B$7:$AP$43,I$66,FALSE)</f>
        <v>0</v>
      </c>
      <c r="J76" s="7" t="s">
        <v>224</v>
      </c>
      <c r="K76"/>
    </row>
    <row r="77" spans="1:11" ht="15">
      <c r="A77" s="8" t="s">
        <v>61</v>
      </c>
      <c r="B77" s="11">
        <f>VLOOKUP($A77,'Mat of App'!$B$7:$AP$43,B$66,FALSE)</f>
        <v>0</v>
      </c>
      <c r="C77" s="11">
        <f>VLOOKUP($A77,'Mat of App'!$B$7:$AP$43,C$66,FALSE)</f>
        <v>0</v>
      </c>
      <c r="D77" s="11">
        <f>VLOOKUP($A77,'Mat of App'!$B$7:$AP$43,D$66,FALSE)</f>
        <v>0</v>
      </c>
      <c r="E77" s="11">
        <f>VLOOKUP($A77,'Mat of App'!$B$7:$AP$43,E$66,FALSE)</f>
        <v>0</v>
      </c>
      <c r="F77" s="11">
        <f>VLOOKUP($A77,'Mat of App'!$B$7:$AP$43,F$66,FALSE)</f>
        <v>0</v>
      </c>
      <c r="G77" s="11">
        <f>VLOOKUP($A77,'Mat of App'!$B$7:$AP$43,G$66,FALSE)</f>
        <v>1</v>
      </c>
      <c r="H77" s="11">
        <f>VLOOKUP($A77,'Mat of App'!$B$7:$AP$43,H$66,FALSE)</f>
        <v>0</v>
      </c>
      <c r="I77" s="11">
        <f>VLOOKUP($A77,'Mat of App'!$B$7:$AP$43,I$66,FALSE)</f>
        <v>0</v>
      </c>
      <c r="J77" s="7" t="s">
        <v>224</v>
      </c>
      <c r="K77"/>
    </row>
    <row r="78" spans="1:11" ht="15">
      <c r="A78" s="285" t="s">
        <v>1176</v>
      </c>
      <c r="B78" s="11">
        <f>VLOOKUP($A78,'Mat of App'!$B$7:$AP$43,B$66,FALSE)</f>
        <v>0</v>
      </c>
      <c r="C78" s="11">
        <f>VLOOKUP($A78,'Mat of App'!$B$7:$AP$43,C$66,FALSE)</f>
        <v>0</v>
      </c>
      <c r="D78" s="11">
        <f>VLOOKUP($A78,'Mat of App'!$B$7:$AP$43,D$66,FALSE)</f>
        <v>0</v>
      </c>
      <c r="E78" s="11">
        <f>VLOOKUP($A78,'Mat of App'!$B$7:$AP$43,E$66,FALSE)</f>
        <v>0</v>
      </c>
      <c r="F78" s="11">
        <f>VLOOKUP($A78,'Mat of App'!$B$7:$AP$43,F$66,FALSE)</f>
        <v>0</v>
      </c>
      <c r="G78" s="11">
        <f>VLOOKUP($A78,'Mat of App'!$B$7:$AP$43,G$66,FALSE)</f>
        <v>0</v>
      </c>
      <c r="H78" s="11">
        <f>VLOOKUP($A78,'Mat of App'!$B$7:$AP$43,H$66,FALSE)</f>
        <v>1</v>
      </c>
      <c r="I78" s="11">
        <f>VLOOKUP($A78,'Mat of App'!$B$7:$AP$43,I$66,FALSE)</f>
        <v>0</v>
      </c>
      <c r="J78" s="7" t="s">
        <v>224</v>
      </c>
      <c r="K78"/>
    </row>
    <row r="79" spans="1:11" ht="15">
      <c r="A79" s="285" t="s">
        <v>62</v>
      </c>
      <c r="B79" s="11">
        <f>VLOOKUP($A79,'Mat of App'!$B$7:$AP$43,B$66,FALSE)</f>
        <v>0</v>
      </c>
      <c r="C79" s="11">
        <f>VLOOKUP($A79,'Mat of App'!$B$7:$AP$43,C$66,FALSE)</f>
        <v>0</v>
      </c>
      <c r="D79" s="11">
        <f>VLOOKUP($A79,'Mat of App'!$B$7:$AP$43,D$66,FALSE)</f>
        <v>0</v>
      </c>
      <c r="E79" s="11">
        <f>VLOOKUP($A79,'Mat of App'!$B$7:$AP$43,E$66,FALSE)</f>
        <v>0</v>
      </c>
      <c r="F79" s="11">
        <f>VLOOKUP($A79,'Mat of App'!$B$7:$AP$43,F$66,FALSE)</f>
        <v>0</v>
      </c>
      <c r="G79" s="11">
        <f>VLOOKUP($A79,'Mat of App'!$B$7:$AP$43,G$66,FALSE)</f>
        <v>0</v>
      </c>
      <c r="H79" s="11">
        <f>VLOOKUP($A79,'Mat of App'!$B$7:$AP$43,H$66,FALSE)</f>
        <v>1</v>
      </c>
      <c r="I79" s="11">
        <f>VLOOKUP($A79,'Mat of App'!$B$7:$AP$43,I$66,FALSE)</f>
        <v>0</v>
      </c>
      <c r="J79" s="7" t="s">
        <v>224</v>
      </c>
      <c r="K79"/>
    </row>
    <row r="80" spans="1:11" ht="15">
      <c r="A80" s="285" t="s">
        <v>63</v>
      </c>
      <c r="B80" s="11">
        <f>VLOOKUP($A80,'Mat of App'!$B$7:$AP$43,B$66,FALSE)</f>
        <v>0</v>
      </c>
      <c r="C80" s="11">
        <f>VLOOKUP($A80,'Mat of App'!$B$7:$AP$43,C$66,FALSE)</f>
        <v>0</v>
      </c>
      <c r="D80" s="11">
        <f>VLOOKUP($A80,'Mat of App'!$B$7:$AP$43,D$66,FALSE)</f>
        <v>0</v>
      </c>
      <c r="E80" s="11">
        <f>VLOOKUP($A80,'Mat of App'!$B$7:$AP$43,E$66,FALSE)</f>
        <v>0</v>
      </c>
      <c r="F80" s="11">
        <f>VLOOKUP($A80,'Mat of App'!$B$7:$AP$43,F$66,FALSE)</f>
        <v>0</v>
      </c>
      <c r="G80" s="11">
        <f>VLOOKUP($A80,'Mat of App'!$B$7:$AP$43,G$66,FALSE)</f>
        <v>0</v>
      </c>
      <c r="H80" s="11">
        <f>VLOOKUP($A80,'Mat of App'!$B$7:$AP$43,H$66,FALSE)</f>
        <v>1</v>
      </c>
      <c r="I80" s="11">
        <f>VLOOKUP($A80,'Mat of App'!$B$7:$AP$43,I$66,FALSE)</f>
        <v>0</v>
      </c>
      <c r="J80" s="7" t="s">
        <v>224</v>
      </c>
      <c r="K80"/>
    </row>
    <row r="81" spans="1:11" ht="15">
      <c r="A81" s="285" t="s">
        <v>1516</v>
      </c>
      <c r="B81" s="11">
        <f>VLOOKUP($A81,'Mat of App'!$B$7:$AP$43,B$66,FALSE)</f>
        <v>0</v>
      </c>
      <c r="C81" s="11">
        <f>VLOOKUP($A81,'Mat of App'!$B$7:$AP$43,C$66,FALSE)</f>
        <v>0</v>
      </c>
      <c r="D81" s="11">
        <f>VLOOKUP($A81,'Mat of App'!$B$7:$AP$43,D$66,FALSE)</f>
        <v>0</v>
      </c>
      <c r="E81" s="11">
        <f>VLOOKUP($A81,'Mat of App'!$B$7:$AP$43,E$66,FALSE)</f>
        <v>0</v>
      </c>
      <c r="F81" s="11">
        <f>VLOOKUP($A81,'Mat of App'!$B$7:$AP$43,F$66,FALSE)</f>
        <v>0</v>
      </c>
      <c r="G81" s="11">
        <f>VLOOKUP($A81,'Mat of App'!$B$7:$AP$43,G$66,FALSE)</f>
        <v>0</v>
      </c>
      <c r="H81" s="11">
        <f>VLOOKUP($A81,'Mat of App'!$B$7:$AP$43,H$66,FALSE)</f>
        <v>1</v>
      </c>
      <c r="I81" s="11">
        <f>VLOOKUP($A81,'Mat of App'!$B$7:$AP$43,I$66,FALSE)</f>
        <v>0</v>
      </c>
      <c r="J81" s="7" t="s">
        <v>224</v>
      </c>
      <c r="K81"/>
    </row>
    <row r="82" spans="1:11" ht="15">
      <c r="A82" s="285" t="s">
        <v>64</v>
      </c>
      <c r="B82" s="11">
        <f>VLOOKUP($A82,'Mat of App'!$B$7:$AP$43,B$66,FALSE)</f>
        <v>0</v>
      </c>
      <c r="C82" s="11">
        <f>VLOOKUP($A82,'Mat of App'!$B$7:$AP$43,C$66,FALSE)</f>
        <v>0</v>
      </c>
      <c r="D82" s="11">
        <f>VLOOKUP($A82,'Mat of App'!$B$7:$AP$43,D$66,FALSE)</f>
        <v>0</v>
      </c>
      <c r="E82" s="11">
        <f>VLOOKUP($A82,'Mat of App'!$B$7:$AP$43,E$66,FALSE)</f>
        <v>0</v>
      </c>
      <c r="F82" s="11">
        <f>VLOOKUP($A82,'Mat of App'!$B$7:$AP$43,F$66,FALSE)</f>
        <v>0</v>
      </c>
      <c r="G82" s="11">
        <f>VLOOKUP($A82,'Mat of App'!$B$7:$AP$43,G$66,FALSE)</f>
        <v>0</v>
      </c>
      <c r="H82" s="11">
        <f>VLOOKUP($A82,'Mat of App'!$B$7:$AP$43,H$66,FALSE)</f>
        <v>0</v>
      </c>
      <c r="I82" s="11">
        <f>VLOOKUP($A82,'Mat of App'!$B$7:$AP$43,I$66,FALSE)</f>
        <v>0</v>
      </c>
      <c r="J82" s="7" t="s">
        <v>224</v>
      </c>
      <c r="K82"/>
    </row>
    <row r="83" spans="1:11" ht="15">
      <c r="A83" s="285" t="s">
        <v>1517</v>
      </c>
      <c r="B83" s="11">
        <f>VLOOKUP($A83,'Mat of App'!$B$7:$AP$43,B$66,FALSE)</f>
        <v>0</v>
      </c>
      <c r="C83" s="11">
        <f>VLOOKUP($A83,'Mat of App'!$B$7:$AP$43,C$66,FALSE)</f>
        <v>0</v>
      </c>
      <c r="D83" s="11">
        <f>VLOOKUP($A83,'Mat of App'!$B$7:$AP$43,D$66,FALSE)</f>
        <v>0</v>
      </c>
      <c r="E83" s="11">
        <f>VLOOKUP($A83,'Mat of App'!$B$7:$AP$43,E$66,FALSE)</f>
        <v>0</v>
      </c>
      <c r="F83" s="11">
        <f>VLOOKUP($A83,'Mat of App'!$B$7:$AP$43,F$66,FALSE)</f>
        <v>0</v>
      </c>
      <c r="G83" s="11">
        <f>VLOOKUP($A83,'Mat of App'!$B$7:$AP$43,G$66,FALSE)</f>
        <v>0</v>
      </c>
      <c r="H83" s="11">
        <f>VLOOKUP($A83,'Mat of App'!$B$7:$AP$43,H$66,FALSE)</f>
        <v>0</v>
      </c>
      <c r="I83" s="11">
        <f>VLOOKUP($A83,'Mat of App'!$B$7:$AP$43,I$66,FALSE)</f>
        <v>0</v>
      </c>
      <c r="J83" s="7"/>
      <c r="K83"/>
    </row>
    <row r="84" spans="1:11" ht="15">
      <c r="A84" s="285" t="s">
        <v>65</v>
      </c>
      <c r="B84" s="11">
        <f>VLOOKUP($A84,'Mat of App'!$B$7:$AP$43,B$66,FALSE)</f>
        <v>0</v>
      </c>
      <c r="C84" s="11">
        <f>VLOOKUP($A84,'Mat of App'!$B$7:$AP$43,C$66,FALSE)</f>
        <v>0</v>
      </c>
      <c r="D84" s="11">
        <f>VLOOKUP($A84,'Mat of App'!$B$7:$AP$43,D$66,FALSE)</f>
        <v>0</v>
      </c>
      <c r="E84" s="11">
        <f>VLOOKUP($A84,'Mat of App'!$B$7:$AP$43,E$66,FALSE)</f>
        <v>0</v>
      </c>
      <c r="F84" s="11">
        <f>VLOOKUP($A84,'Mat of App'!$B$7:$AP$43,F$66,FALSE)</f>
        <v>0</v>
      </c>
      <c r="G84" s="11">
        <f>VLOOKUP($A84,'Mat of App'!$B$7:$AP$43,G$66,FALSE)</f>
        <v>0</v>
      </c>
      <c r="H84" s="11">
        <f>VLOOKUP($A84,'Mat of App'!$B$7:$AP$43,H$66,FALSE)</f>
        <v>0</v>
      </c>
      <c r="I84" s="11">
        <f>VLOOKUP($A84,'Mat of App'!$B$7:$AP$43,I$66,FALSE)</f>
        <v>0</v>
      </c>
      <c r="J84" s="7"/>
      <c r="K84"/>
    </row>
    <row r="85" spans="1:11" ht="15">
      <c r="A85" s="285" t="s">
        <v>1518</v>
      </c>
      <c r="B85" s="11">
        <f>VLOOKUP($A85,'Mat of App'!$B$7:$AP$43,B$66,FALSE)</f>
        <v>0</v>
      </c>
      <c r="C85" s="11">
        <f>VLOOKUP($A85,'Mat of App'!$B$7:$AP$43,C$66,FALSE)</f>
        <v>0</v>
      </c>
      <c r="D85" s="11">
        <f>VLOOKUP($A85,'Mat of App'!$B$7:$AP$43,D$66,FALSE)</f>
        <v>0</v>
      </c>
      <c r="E85" s="11">
        <f>VLOOKUP($A85,'Mat of App'!$B$7:$AP$43,E$66,FALSE)</f>
        <v>0</v>
      </c>
      <c r="F85" s="11">
        <f>VLOOKUP($A85,'Mat of App'!$B$7:$AP$43,F$66,FALSE)</f>
        <v>0</v>
      </c>
      <c r="G85" s="11">
        <f>VLOOKUP($A85,'Mat of App'!$B$7:$AP$43,G$66,FALSE)</f>
        <v>0</v>
      </c>
      <c r="H85" s="11">
        <f>VLOOKUP($A85,'Mat of App'!$B$7:$AP$43,H$66,FALSE)</f>
        <v>0</v>
      </c>
      <c r="I85" s="11">
        <f>VLOOKUP($A85,'Mat of App'!$B$7:$AP$43,I$66,FALSE)</f>
        <v>0</v>
      </c>
      <c r="J85" s="7"/>
      <c r="K85"/>
    </row>
    <row r="86" spans="1:11" ht="15">
      <c r="A86" s="285" t="s">
        <v>66</v>
      </c>
      <c r="B86" s="11">
        <f>VLOOKUP($A86,'Mat of App'!$B$7:$AP$43,B$66,FALSE)</f>
        <v>0</v>
      </c>
      <c r="C86" s="11">
        <f>VLOOKUP($A86,'Mat of App'!$B$7:$AP$43,C$66,FALSE)</f>
        <v>0</v>
      </c>
      <c r="D86" s="11">
        <f>VLOOKUP($A86,'Mat of App'!$B$7:$AP$43,D$66,FALSE)</f>
        <v>0</v>
      </c>
      <c r="E86" s="11">
        <f>VLOOKUP($A86,'Mat of App'!$B$7:$AP$43,E$66,FALSE)</f>
        <v>0</v>
      </c>
      <c r="F86" s="11">
        <f>VLOOKUP($A86,'Mat of App'!$B$7:$AP$43,F$66,FALSE)</f>
        <v>0</v>
      </c>
      <c r="G86" s="11">
        <f>VLOOKUP($A86,'Mat of App'!$B$7:$AP$43,G$66,FALSE)</f>
        <v>0</v>
      </c>
      <c r="H86" s="11">
        <f>VLOOKUP($A86,'Mat of App'!$B$7:$AP$43,H$66,FALSE)</f>
        <v>0</v>
      </c>
      <c r="I86" s="11">
        <f>VLOOKUP($A86,'Mat of App'!$B$7:$AP$43,I$66,FALSE)</f>
        <v>0</v>
      </c>
      <c r="J86" s="7"/>
      <c r="K86"/>
    </row>
    <row r="87" spans="1:11" ht="15">
      <c r="A87" s="285" t="s">
        <v>1519</v>
      </c>
      <c r="B87" s="11">
        <f>VLOOKUP($A87,'Mat of App'!$B$7:$AP$43,B$66,FALSE)</f>
        <v>0</v>
      </c>
      <c r="C87" s="11">
        <f>VLOOKUP($A87,'Mat of App'!$B$7:$AP$43,C$66,FALSE)</f>
        <v>0</v>
      </c>
      <c r="D87" s="11">
        <f>VLOOKUP($A87,'Mat of App'!$B$7:$AP$43,D$66,FALSE)</f>
        <v>0</v>
      </c>
      <c r="E87" s="11">
        <f>VLOOKUP($A87,'Mat of App'!$B$7:$AP$43,E$66,FALSE)</f>
        <v>0</v>
      </c>
      <c r="F87" s="11">
        <f>VLOOKUP($A87,'Mat of App'!$B$7:$AP$43,F$66,FALSE)</f>
        <v>0</v>
      </c>
      <c r="G87" s="11">
        <f>VLOOKUP($A87,'Mat of App'!$B$7:$AP$43,G$66,FALSE)</f>
        <v>0</v>
      </c>
      <c r="H87" s="11">
        <f>VLOOKUP($A87,'Mat of App'!$B$7:$AP$43,H$66,FALSE)</f>
        <v>0</v>
      </c>
      <c r="I87" s="11">
        <f>VLOOKUP($A87,'Mat of App'!$B$7:$AP$43,I$66,FALSE)</f>
        <v>0</v>
      </c>
      <c r="J87" s="7" t="s">
        <v>224</v>
      </c>
      <c r="K87"/>
    </row>
    <row r="88" spans="1:11" ht="15">
      <c r="A88"/>
      <c r="B88"/>
      <c r="C88"/>
      <c r="D88"/>
      <c r="E88"/>
      <c r="F88"/>
      <c r="G88"/>
      <c r="H88"/>
      <c r="I88"/>
      <c r="J88"/>
      <c r="K88"/>
    </row>
    <row r="89" spans="1:11" ht="19.5">
      <c r="A89" s="1" t="s">
        <v>67</v>
      </c>
      <c r="B89"/>
      <c r="C89"/>
      <c r="D89"/>
      <c r="E89"/>
      <c r="F89"/>
      <c r="G89"/>
      <c r="H89"/>
      <c r="I89"/>
      <c r="J89"/>
      <c r="K89"/>
    </row>
    <row r="90" spans="1:11" ht="15">
      <c r="A90" s="2"/>
      <c r="B90"/>
      <c r="C90"/>
      <c r="D90"/>
      <c r="E90"/>
      <c r="F90"/>
      <c r="G90"/>
      <c r="H90"/>
      <c r="I90"/>
      <c r="J90"/>
      <c r="K90"/>
    </row>
    <row r="91" spans="1:11" ht="15">
      <c r="A91" s="2" t="s">
        <v>68</v>
      </c>
      <c r="B91"/>
      <c r="C91"/>
      <c r="D91"/>
      <c r="E91"/>
      <c r="F91"/>
      <c r="G91"/>
      <c r="H91"/>
      <c r="I91"/>
      <c r="J91"/>
      <c r="K91"/>
    </row>
    <row r="92" spans="1:11" ht="15">
      <c r="A92" t="s">
        <v>69</v>
      </c>
      <c r="B92"/>
      <c r="C92"/>
      <c r="D92"/>
      <c r="E92"/>
      <c r="F92"/>
      <c r="G92"/>
      <c r="H92"/>
      <c r="I92"/>
      <c r="J92"/>
      <c r="K92"/>
    </row>
    <row r="93" spans="1:11" ht="15">
      <c r="A93"/>
      <c r="B93" s="3" t="s">
        <v>37</v>
      </c>
      <c r="C93" s="3" t="s">
        <v>38</v>
      </c>
      <c r="D93" s="3" t="s">
        <v>39</v>
      </c>
      <c r="E93" s="3" t="s">
        <v>40</v>
      </c>
      <c r="F93" s="3" t="s">
        <v>41</v>
      </c>
      <c r="G93" s="3" t="s">
        <v>42</v>
      </c>
      <c r="H93" s="3" t="s">
        <v>43</v>
      </c>
      <c r="I93" s="3" t="s">
        <v>44</v>
      </c>
      <c r="J93"/>
      <c r="K93"/>
    </row>
    <row r="94" spans="1:11" ht="15">
      <c r="A94" s="8" t="s">
        <v>70</v>
      </c>
      <c r="B94" s="4">
        <f>VLOOKUP($A94,'Mat of App'!$B$7:$AP$43,B$66,FALSE)</f>
        <v>0</v>
      </c>
      <c r="C94" s="4">
        <f>VLOOKUP($A94,'Mat of App'!$B$7:$AP$43,C$66,FALSE)</f>
        <v>0</v>
      </c>
      <c r="D94" s="4">
        <f>VLOOKUP($A94,'Mat of App'!$B$7:$AP$43,D$66,FALSE)</f>
        <v>0</v>
      </c>
      <c r="E94" s="4">
        <f>VLOOKUP($A94,'Mat of App'!$B$7:$AP$43,E$66,FALSE)</f>
        <v>0</v>
      </c>
      <c r="F94" s="4">
        <f>VLOOKUP($A94,'Mat of App'!$B$7:$AP$43,F$66,FALSE)</f>
        <v>0</v>
      </c>
      <c r="G94" s="4">
        <f>VLOOKUP($A94,'Mat of App'!$B$7:$AP$43,G$66,FALSE)</f>
        <v>0</v>
      </c>
      <c r="H94" s="4">
        <f>VLOOKUP($A94,'Mat of App'!$B$7:$AP$43,H$66,FALSE)</f>
        <v>0</v>
      </c>
      <c r="I94" s="4">
        <f>VLOOKUP($A94,'Mat of App'!$B$7:$AP$43,I$66,FALSE)</f>
        <v>0.48799999999999999</v>
      </c>
      <c r="J94" s="7" t="s">
        <v>224</v>
      </c>
      <c r="K94"/>
    </row>
    <row r="95" spans="1:11" ht="15">
      <c r="A95"/>
      <c r="B95"/>
      <c r="C95"/>
      <c r="D95"/>
      <c r="E95"/>
      <c r="F95"/>
      <c r="G95"/>
      <c r="H95"/>
      <c r="I95"/>
      <c r="J95"/>
      <c r="K95"/>
    </row>
    <row r="96" spans="1:11" ht="19.5">
      <c r="A96" s="1" t="s">
        <v>71</v>
      </c>
      <c r="B96"/>
      <c r="C96"/>
      <c r="D96"/>
      <c r="E96"/>
      <c r="F96"/>
      <c r="G96"/>
      <c r="H96"/>
      <c r="I96"/>
      <c r="J96"/>
      <c r="K96"/>
    </row>
    <row r="97" spans="1:11" ht="15">
      <c r="A97"/>
      <c r="B97">
        <v>12</v>
      </c>
      <c r="C97">
        <f>B97+1</f>
        <v>13</v>
      </c>
      <c r="D97">
        <f>C97+1</f>
        <v>14</v>
      </c>
      <c r="E97">
        <f>D97+1</f>
        <v>15</v>
      </c>
      <c r="F97">
        <f>E97+1</f>
        <v>16</v>
      </c>
      <c r="G97"/>
      <c r="H97"/>
      <c r="I97"/>
      <c r="J97"/>
      <c r="K97"/>
    </row>
    <row r="98" spans="1:11" ht="15">
      <c r="A98"/>
      <c r="B98" s="3" t="s">
        <v>47</v>
      </c>
      <c r="C98" s="3" t="s">
        <v>48</v>
      </c>
      <c r="D98" s="3" t="s">
        <v>49</v>
      </c>
      <c r="E98" s="3" t="s">
        <v>50</v>
      </c>
      <c r="F98" s="3" t="s">
        <v>51</v>
      </c>
      <c r="G98"/>
      <c r="H98"/>
      <c r="I98"/>
      <c r="J98"/>
      <c r="K98"/>
    </row>
    <row r="99" spans="1:11" ht="15">
      <c r="A99" s="285" t="s">
        <v>72</v>
      </c>
      <c r="B99" s="11">
        <f>VLOOKUP($A99,'Mat of App'!$B$7:$AP$43,B$97,FALSE)</f>
        <v>1</v>
      </c>
      <c r="C99" s="11">
        <f>VLOOKUP($A99,'Mat of App'!$B$7:$AP$43,C$97,FALSE)</f>
        <v>0</v>
      </c>
      <c r="D99" s="11">
        <f>VLOOKUP($A99,'Mat of App'!$B$7:$AP$43,D$97,FALSE)</f>
        <v>0</v>
      </c>
      <c r="E99" s="11">
        <f>VLOOKUP($A99,'Mat of App'!$B$7:$AP$43,E$97,FALSE)</f>
        <v>0</v>
      </c>
      <c r="F99" s="11">
        <f>VLOOKUP($A99,'Mat of App'!$B$7:$AP$43,F$97,FALSE)</f>
        <v>0</v>
      </c>
      <c r="G99" s="7" t="s">
        <v>224</v>
      </c>
      <c r="H99"/>
      <c r="I99"/>
      <c r="J99"/>
      <c r="K99"/>
    </row>
    <row r="100" spans="1:11" ht="15">
      <c r="A100" s="285" t="s">
        <v>73</v>
      </c>
      <c r="B100" s="11">
        <f>VLOOKUP($A100,'Mat of App'!$B$7:$AP$43,B$97,FALSE)</f>
        <v>1</v>
      </c>
      <c r="C100" s="11">
        <f>VLOOKUP($A100,'Mat of App'!$B$7:$AP$43,C$97,FALSE)</f>
        <v>0</v>
      </c>
      <c r="D100" s="11">
        <f>VLOOKUP($A100,'Mat of App'!$B$7:$AP$43,D$97,FALSE)</f>
        <v>0</v>
      </c>
      <c r="E100" s="11">
        <f>VLOOKUP($A100,'Mat of App'!$B$7:$AP$43,E$97,FALSE)</f>
        <v>0</v>
      </c>
      <c r="F100" s="11">
        <f>VLOOKUP($A100,'Mat of App'!$B$7:$AP$43,F$97,FALSE)</f>
        <v>0</v>
      </c>
      <c r="G100" s="7" t="s">
        <v>224</v>
      </c>
      <c r="H100"/>
      <c r="I100"/>
      <c r="J100"/>
      <c r="K100"/>
    </row>
    <row r="101" spans="1:11" customFormat="1" ht="15">
      <c r="A101" s="285" t="s">
        <v>74</v>
      </c>
      <c r="B101" s="11">
        <f>VLOOKUP($A101,'Mat of App'!$B$7:$AP$43,B$97,FALSE)</f>
        <v>0</v>
      </c>
      <c r="C101" s="11">
        <f>VLOOKUP($A101,'Mat of App'!$B$7:$AP$43,C$97,FALSE)</f>
        <v>1</v>
      </c>
      <c r="D101" s="11">
        <f>VLOOKUP($A101,'Mat of App'!$B$7:$AP$43,D$97,FALSE)</f>
        <v>0</v>
      </c>
      <c r="E101" s="11">
        <f>VLOOKUP($A101,'Mat of App'!$B$7:$AP$43,E$97,FALSE)</f>
        <v>0</v>
      </c>
      <c r="F101" s="11">
        <f>VLOOKUP($A101,'Mat of App'!$B$7:$AP$43,F$97,FALSE)</f>
        <v>0</v>
      </c>
      <c r="G101" s="7"/>
    </row>
    <row r="102" spans="1:11" customFormat="1" ht="15">
      <c r="A102" s="285" t="s">
        <v>1520</v>
      </c>
      <c r="B102" s="11">
        <f>VLOOKUP($A102,'Mat of App'!$B$7:$AP$43,B$97,FALSE)</f>
        <v>0</v>
      </c>
      <c r="C102" s="11">
        <f>VLOOKUP($A102,'Mat of App'!$B$7:$AP$43,C$97,FALSE)</f>
        <v>1</v>
      </c>
      <c r="D102" s="11">
        <f>VLOOKUP($A102,'Mat of App'!$B$7:$AP$43,D$97,FALSE)</f>
        <v>0</v>
      </c>
      <c r="E102" s="11">
        <f>VLOOKUP($A102,'Mat of App'!$B$7:$AP$43,E$97,FALSE)</f>
        <v>0</v>
      </c>
      <c r="F102" s="11">
        <f>VLOOKUP($A102,'Mat of App'!$B$7:$AP$43,F$97,FALSE)</f>
        <v>0</v>
      </c>
      <c r="G102" s="7"/>
    </row>
    <row r="103" spans="1:11" customFormat="1" ht="15">
      <c r="A103" s="285" t="s">
        <v>75</v>
      </c>
      <c r="B103" s="11">
        <f>VLOOKUP($A103,'Mat of App'!$B$7:$AP$43,B$97,FALSE)</f>
        <v>0</v>
      </c>
      <c r="C103" s="11">
        <f>VLOOKUP($A103,'Mat of App'!$B$7:$AP$43,C$97,FALSE)</f>
        <v>1</v>
      </c>
      <c r="D103" s="11">
        <f>VLOOKUP($A103,'Mat of App'!$B$7:$AP$43,D$97,FALSE)</f>
        <v>0</v>
      </c>
      <c r="E103" s="11">
        <f>VLOOKUP($A103,'Mat of App'!$B$7:$AP$43,E$97,FALSE)</f>
        <v>0</v>
      </c>
      <c r="F103" s="11">
        <f>VLOOKUP($A103,'Mat of App'!$B$7:$AP$43,F$97,FALSE)</f>
        <v>0</v>
      </c>
      <c r="G103" s="7"/>
    </row>
    <row r="104" spans="1:11" customFormat="1" ht="15">
      <c r="A104" s="285" t="s">
        <v>1521</v>
      </c>
      <c r="B104" s="11">
        <f>VLOOKUP($A104,'Mat of App'!$B$7:$AP$43,B$97,FALSE)</f>
        <v>0</v>
      </c>
      <c r="C104" s="11">
        <f>VLOOKUP($A104,'Mat of App'!$B$7:$AP$43,C$97,FALSE)</f>
        <v>1</v>
      </c>
      <c r="D104" s="11">
        <f>VLOOKUP($A104,'Mat of App'!$B$7:$AP$43,D$97,FALSE)</f>
        <v>0</v>
      </c>
      <c r="E104" s="11">
        <f>VLOOKUP($A104,'Mat of App'!$B$7:$AP$43,E$97,FALSE)</f>
        <v>0</v>
      </c>
      <c r="F104" s="11">
        <f>VLOOKUP($A104,'Mat of App'!$B$7:$AP$43,F$97,FALSE)</f>
        <v>0</v>
      </c>
      <c r="G104" s="7"/>
    </row>
    <row r="105" spans="1:11" ht="15">
      <c r="A105"/>
      <c r="B105"/>
      <c r="C105"/>
      <c r="D105"/>
      <c r="E105"/>
      <c r="F105"/>
      <c r="G105"/>
      <c r="H105"/>
      <c r="I105"/>
      <c r="J105"/>
      <c r="K105"/>
    </row>
    <row r="106" spans="1:11" ht="19.5">
      <c r="A106" s="1" t="s">
        <v>76</v>
      </c>
      <c r="B106"/>
      <c r="C106"/>
      <c r="D106"/>
      <c r="E106"/>
      <c r="F106"/>
      <c r="G106"/>
      <c r="H106"/>
      <c r="I106"/>
      <c r="J106"/>
      <c r="K106"/>
    </row>
    <row r="107" spans="1:11" ht="15">
      <c r="A107" s="2" t="s">
        <v>224</v>
      </c>
      <c r="B107"/>
      <c r="C107"/>
      <c r="D107"/>
      <c r="E107"/>
      <c r="F107"/>
      <c r="G107"/>
      <c r="H107"/>
      <c r="I107"/>
      <c r="J107"/>
      <c r="K107"/>
    </row>
    <row r="108" spans="1:11" ht="15">
      <c r="A108" t="s">
        <v>77</v>
      </c>
      <c r="B108"/>
      <c r="C108"/>
      <c r="D108"/>
      <c r="E108"/>
      <c r="F108"/>
      <c r="G108"/>
      <c r="H108"/>
      <c r="I108"/>
      <c r="J108"/>
      <c r="K108"/>
    </row>
    <row r="109" spans="1:11" ht="15">
      <c r="A109"/>
      <c r="B109" s="3" t="s">
        <v>23</v>
      </c>
      <c r="C109" s="3" t="s">
        <v>24</v>
      </c>
      <c r="D109" s="3" t="s">
        <v>25</v>
      </c>
      <c r="E109" s="3" t="s">
        <v>26</v>
      </c>
      <c r="F109" s="3" t="s">
        <v>27</v>
      </c>
      <c r="G109" s="3" t="s">
        <v>28</v>
      </c>
      <c r="H109" s="3" t="s">
        <v>29</v>
      </c>
      <c r="I109"/>
      <c r="J109"/>
      <c r="K109"/>
    </row>
    <row r="110" spans="1:11" ht="15">
      <c r="A110" s="8" t="s">
        <v>78</v>
      </c>
      <c r="B110" s="4">
        <f>VLOOKUP(Vlookup!B69,'CDCM Forecast Data'!$A$14:$I$271,7,FALSE)</f>
        <v>1.002</v>
      </c>
      <c r="C110" s="4">
        <f>VLOOKUP(Vlookup!C69,'CDCM Forecast Data'!$A$14:$I$271,7,FALSE)</f>
        <v>1.006</v>
      </c>
      <c r="D110" s="4">
        <f>VLOOKUP(Vlookup!D69,'CDCM Forecast Data'!$A$14:$I$271,7,FALSE)</f>
        <v>1.012</v>
      </c>
      <c r="E110" s="4">
        <f>VLOOKUP(Vlookup!E69,'CDCM Forecast Data'!$A$14:$I$271,7,FALSE)</f>
        <v>1.0209999999999999</v>
      </c>
      <c r="F110" s="4">
        <f>VLOOKUP(Vlookup!F69,'CDCM Forecast Data'!$A$14:$I$271,7,FALSE)</f>
        <v>1.038</v>
      </c>
      <c r="G110" s="4">
        <f>VLOOKUP(Vlookup!G69,'CDCM Forecast Data'!$A$14:$I$271,7,FALSE)</f>
        <v>1.0489999999999999</v>
      </c>
      <c r="H110" s="4">
        <f>VLOOKUP(Vlookup!H69,'CDCM Forecast Data'!$A$14:$I$271,7,FALSE)</f>
        <v>1.0620000000000001</v>
      </c>
      <c r="I110" s="7" t="s">
        <v>224</v>
      </c>
      <c r="J110"/>
      <c r="K110"/>
    </row>
    <row r="111" spans="1:11" ht="15">
      <c r="A111"/>
      <c r="B111"/>
      <c r="C111"/>
      <c r="D111"/>
      <c r="E111"/>
      <c r="F111"/>
      <c r="G111"/>
      <c r="H111"/>
      <c r="I111"/>
      <c r="J111"/>
      <c r="K111"/>
    </row>
    <row r="112" spans="1:11" ht="19.5">
      <c r="A112" s="1" t="s">
        <v>79</v>
      </c>
      <c r="B112"/>
      <c r="C112"/>
      <c r="D112"/>
      <c r="E112"/>
      <c r="F112"/>
      <c r="G112"/>
      <c r="H112"/>
      <c r="I112"/>
      <c r="J112"/>
      <c r="K112"/>
    </row>
    <row r="113" spans="1:11" ht="15">
      <c r="A113" s="2" t="s">
        <v>224</v>
      </c>
      <c r="B113"/>
      <c r="C113"/>
      <c r="D113"/>
      <c r="E113"/>
      <c r="F113"/>
      <c r="G113"/>
      <c r="H113"/>
      <c r="I113"/>
      <c r="J113"/>
      <c r="K113"/>
    </row>
    <row r="114" spans="1:11" ht="15">
      <c r="A114" t="s">
        <v>80</v>
      </c>
      <c r="B114"/>
      <c r="C114"/>
      <c r="D114"/>
      <c r="E114"/>
      <c r="F114"/>
      <c r="G114"/>
      <c r="H114"/>
      <c r="I114"/>
      <c r="J114"/>
      <c r="K114"/>
    </row>
    <row r="115" spans="1:11" ht="15">
      <c r="A115"/>
      <c r="B115" s="3" t="s">
        <v>81</v>
      </c>
      <c r="C115" s="3" t="s">
        <v>82</v>
      </c>
      <c r="D115" s="3" t="s">
        <v>83</v>
      </c>
      <c r="E115" s="3" t="s">
        <v>84</v>
      </c>
      <c r="F115" s="3" t="s">
        <v>85</v>
      </c>
      <c r="G115"/>
      <c r="H115"/>
      <c r="I115"/>
      <c r="J115"/>
      <c r="K115"/>
    </row>
    <row r="116" spans="1:11" ht="15">
      <c r="A116" s="8" t="s">
        <v>86</v>
      </c>
      <c r="B116" s="6"/>
      <c r="C116" s="11">
        <f>VLOOKUP(Vlookup!C75,'CDCM Forecast Data'!$A$14:$I$271,7,FALSE)</f>
        <v>0.37267999985613431</v>
      </c>
      <c r="D116" s="11">
        <f>VLOOKUP(Vlookup!D75,'CDCM Forecast Data'!$A$14:$I$271,7,FALSE)</f>
        <v>0.6188090826390088</v>
      </c>
      <c r="E116" s="11">
        <f>VLOOKUP(Vlookup!E75,'CDCM Forecast Data'!$A$14:$I$271,7,FALSE)</f>
        <v>0.3749541673400224</v>
      </c>
      <c r="F116" s="11">
        <f>VLOOKUP(Vlookup!F75,'CDCM Forecast Data'!$A$14:$I$271,7,FALSE)</f>
        <v>0.25863289422864333</v>
      </c>
      <c r="G116" s="7" t="s">
        <v>224</v>
      </c>
      <c r="H116"/>
      <c r="I116"/>
      <c r="J116"/>
      <c r="K116"/>
    </row>
    <row r="117" spans="1:11" ht="15">
      <c r="A117"/>
      <c r="B117"/>
      <c r="C117"/>
      <c r="D117"/>
      <c r="E117"/>
      <c r="F117"/>
      <c r="G117"/>
      <c r="H117"/>
      <c r="I117"/>
      <c r="J117"/>
      <c r="K117"/>
    </row>
    <row r="118" spans="1:11" ht="19.5">
      <c r="A118" s="1" t="s">
        <v>87</v>
      </c>
      <c r="B118"/>
      <c r="C118"/>
      <c r="D118"/>
      <c r="E118"/>
      <c r="F118"/>
      <c r="G118"/>
      <c r="H118"/>
      <c r="I118"/>
      <c r="J118"/>
      <c r="K118"/>
    </row>
    <row r="119" spans="1:11" ht="15">
      <c r="A119" s="2"/>
      <c r="B119"/>
      <c r="C119"/>
      <c r="D119"/>
      <c r="E119"/>
      <c r="F119"/>
      <c r="G119"/>
      <c r="H119"/>
      <c r="I119"/>
      <c r="J119"/>
      <c r="K119"/>
    </row>
    <row r="120" spans="1:11" ht="15">
      <c r="A120" t="s">
        <v>88</v>
      </c>
      <c r="B120"/>
      <c r="C120"/>
      <c r="D120"/>
      <c r="E120"/>
      <c r="F120"/>
      <c r="G120"/>
      <c r="H120"/>
      <c r="I120"/>
      <c r="J120"/>
      <c r="K120"/>
    </row>
    <row r="121" spans="1:11" ht="15">
      <c r="A121"/>
      <c r="B121" s="3" t="s">
        <v>89</v>
      </c>
      <c r="C121" s="3" t="s">
        <v>90</v>
      </c>
      <c r="D121"/>
      <c r="E121"/>
      <c r="F121"/>
      <c r="G121"/>
      <c r="H121"/>
      <c r="I121"/>
      <c r="J121"/>
      <c r="K121"/>
    </row>
    <row r="122" spans="1:11" ht="15">
      <c r="A122" s="8" t="s">
        <v>54</v>
      </c>
      <c r="B122" s="4">
        <f>VLOOKUP(Vlookup!B81,'CDCM Forecast Data'!$A$14:$I$271,7,FALSE)</f>
        <v>0.9161200130357342</v>
      </c>
      <c r="C122" s="4">
        <f>VLOOKUP(Vlookup!C81,'CDCM Forecast Data'!$A$14:$I$271,7,FALSE)</f>
        <v>0.41794848731992928</v>
      </c>
      <c r="D122" s="7" t="s">
        <v>224</v>
      </c>
      <c r="E122"/>
      <c r="F122"/>
      <c r="G122"/>
      <c r="H122"/>
      <c r="I122"/>
      <c r="J122"/>
      <c r="K122"/>
    </row>
    <row r="123" spans="1:11" ht="15">
      <c r="A123" s="8" t="s">
        <v>55</v>
      </c>
      <c r="B123" s="4">
        <f>VLOOKUP(Vlookup!B82,'CDCM Forecast Data'!$A$14:$I$271,7,FALSE)</f>
        <v>0.34251063480316429</v>
      </c>
      <c r="C123" s="4">
        <f>VLOOKUP(Vlookup!C82,'CDCM Forecast Data'!$A$14:$I$271,7,FALSE)</f>
        <v>0.25787268553133197</v>
      </c>
      <c r="D123" s="7" t="s">
        <v>224</v>
      </c>
      <c r="E123"/>
      <c r="F123"/>
      <c r="G123"/>
      <c r="H123"/>
      <c r="I123"/>
      <c r="J123"/>
      <c r="K123"/>
    </row>
    <row r="124" spans="1:11" ht="15">
      <c r="A124" s="8" t="s">
        <v>91</v>
      </c>
      <c r="B124" s="6"/>
      <c r="C124" s="4">
        <f>VLOOKUP(Vlookup!C83,'CDCM Forecast Data'!$A$14:$I$271,7,FALSE)</f>
        <v>0.14408187510851836</v>
      </c>
      <c r="D124" s="7" t="s">
        <v>224</v>
      </c>
      <c r="E124"/>
      <c r="F124"/>
      <c r="G124"/>
      <c r="H124"/>
      <c r="I124"/>
      <c r="J124"/>
      <c r="K124"/>
    </row>
    <row r="125" spans="1:11" ht="15">
      <c r="A125" s="8" t="s">
        <v>56</v>
      </c>
      <c r="B125" s="4">
        <f>VLOOKUP(Vlookup!B84,'CDCM Forecast Data'!$A$14:$I$271,7,FALSE)</f>
        <v>0.63581024857807822</v>
      </c>
      <c r="C125" s="4">
        <f>VLOOKUP(Vlookup!C84,'CDCM Forecast Data'!$A$14:$I$271,7,FALSE)</f>
        <v>0.39168322631991553</v>
      </c>
      <c r="D125" s="7" t="s">
        <v>224</v>
      </c>
      <c r="E125"/>
      <c r="F125"/>
      <c r="G125"/>
      <c r="H125"/>
      <c r="I125"/>
      <c r="J125"/>
      <c r="K125"/>
    </row>
    <row r="126" spans="1:11" ht="15">
      <c r="A126" s="8" t="s">
        <v>57</v>
      </c>
      <c r="B126" s="4">
        <f>VLOOKUP(Vlookup!B85,'CDCM Forecast Data'!$A$14:$I$271,7,FALSE)</f>
        <v>0.58840544954710228</v>
      </c>
      <c r="C126" s="4">
        <f>VLOOKUP(Vlookup!C85,'CDCM Forecast Data'!$A$14:$I$271,7,FALSE)</f>
        <v>0.4286725135799398</v>
      </c>
      <c r="D126" s="7" t="s">
        <v>224</v>
      </c>
      <c r="E126"/>
      <c r="F126"/>
      <c r="G126"/>
      <c r="H126"/>
      <c r="I126"/>
      <c r="J126"/>
      <c r="K126"/>
    </row>
    <row r="127" spans="1:11" ht="15">
      <c r="A127" s="8" t="s">
        <v>92</v>
      </c>
      <c r="B127" s="6"/>
      <c r="C127" s="4">
        <f>VLOOKUP(Vlookup!C86,'CDCM Forecast Data'!$A$14:$I$271,7,FALSE)</f>
        <v>0.15294404542816803</v>
      </c>
      <c r="D127" s="7" t="s">
        <v>224</v>
      </c>
      <c r="E127"/>
      <c r="F127"/>
      <c r="G127"/>
      <c r="H127"/>
      <c r="I127"/>
      <c r="J127"/>
      <c r="K127"/>
    </row>
    <row r="128" spans="1:11" ht="15">
      <c r="A128" s="8" t="s">
        <v>58</v>
      </c>
      <c r="B128" s="4">
        <f>VLOOKUP(Vlookup!B87,'CDCM Forecast Data'!$A$14:$I$271,7,FALSE)</f>
        <v>0.85855132048386718</v>
      </c>
      <c r="C128" s="4">
        <f>VLOOKUP(Vlookup!C87,'CDCM Forecast Data'!$A$14:$I$271,7,FALSE)</f>
        <v>0.59360150796757727</v>
      </c>
      <c r="D128" s="7" t="s">
        <v>224</v>
      </c>
      <c r="E128"/>
      <c r="F128"/>
      <c r="G128"/>
      <c r="H128"/>
      <c r="I128"/>
      <c r="J128"/>
      <c r="K128"/>
    </row>
    <row r="129" spans="1:11" ht="15">
      <c r="A129" s="8" t="s">
        <v>59</v>
      </c>
      <c r="B129" s="4">
        <f>VLOOKUP(Vlookup!B88,'CDCM Forecast Data'!$A$14:$I$271,7,FALSE)</f>
        <v>0.83823141723685424</v>
      </c>
      <c r="C129" s="4">
        <f>VLOOKUP(Vlookup!C88,'CDCM Forecast Data'!$A$14:$I$271,7,FALSE)</f>
        <v>0.60009005575416807</v>
      </c>
      <c r="D129" s="7" t="s">
        <v>224</v>
      </c>
      <c r="E129"/>
      <c r="F129"/>
      <c r="G129"/>
      <c r="H129"/>
      <c r="I129"/>
      <c r="J129"/>
      <c r="K129"/>
    </row>
    <row r="130" spans="1:11" ht="15">
      <c r="A130" s="8" t="s">
        <v>72</v>
      </c>
      <c r="B130" s="4">
        <f>VLOOKUP(Vlookup!B89,'CDCM Forecast Data'!$A$14:$I$271,7,FALSE)</f>
        <v>0.6632207801144262</v>
      </c>
      <c r="C130" s="4">
        <f>VLOOKUP(Vlookup!C89,'CDCM Forecast Data'!$A$14:$I$271,7,FALSE)</f>
        <v>0.45490842079580179</v>
      </c>
      <c r="D130" s="7" t="s">
        <v>224</v>
      </c>
      <c r="E130"/>
      <c r="F130"/>
      <c r="G130"/>
      <c r="H130"/>
      <c r="I130"/>
      <c r="J130"/>
      <c r="K130"/>
    </row>
    <row r="131" spans="1:11" ht="15">
      <c r="A131" s="8" t="s">
        <v>1178</v>
      </c>
      <c r="B131" s="4">
        <f>VLOOKUP(Vlookup!B90,'CDCM Forecast Data'!$A$14:$I$271,7,FALSE)</f>
        <v>0.82598957531386852</v>
      </c>
      <c r="C131" s="4">
        <f>VLOOKUP(Vlookup!C90,'CDCM Forecast Data'!$A$14:$I$271,7,FALSE)</f>
        <v>0.38999288958750616</v>
      </c>
      <c r="D131" s="7" t="s">
        <v>224</v>
      </c>
      <c r="E131"/>
      <c r="F131"/>
      <c r="G131"/>
      <c r="H131"/>
      <c r="I131"/>
      <c r="J131"/>
      <c r="K131"/>
    </row>
    <row r="132" spans="1:11" ht="15">
      <c r="A132" s="8" t="s">
        <v>1177</v>
      </c>
      <c r="B132" s="4">
        <f>VLOOKUP(Vlookup!B91,'CDCM Forecast Data'!$A$14:$I$271,7,FALSE)</f>
        <v>0.62627960493623358</v>
      </c>
      <c r="C132" s="4">
        <f>VLOOKUP(Vlookup!C91,'CDCM Forecast Data'!$A$14:$I$271,7,FALSE)</f>
        <v>0.39304953059499698</v>
      </c>
      <c r="D132" s="7" t="s">
        <v>224</v>
      </c>
      <c r="E132"/>
      <c r="F132"/>
      <c r="G132"/>
      <c r="H132"/>
      <c r="I132"/>
      <c r="J132"/>
      <c r="K132"/>
    </row>
    <row r="133" spans="1:11" ht="15">
      <c r="A133" s="8" t="s">
        <v>60</v>
      </c>
      <c r="B133" s="4">
        <f>VLOOKUP(Vlookup!B92,'CDCM Forecast Data'!$A$14:$I$271,7,FALSE)</f>
        <v>0.80328789495257791</v>
      </c>
      <c r="C133" s="4">
        <f>VLOOKUP(Vlookup!C92,'CDCM Forecast Data'!$A$14:$I$271,7,FALSE)</f>
        <v>0.58758032453585229</v>
      </c>
      <c r="D133" s="7" t="s">
        <v>224</v>
      </c>
      <c r="E133"/>
      <c r="F133"/>
      <c r="G133"/>
      <c r="H133"/>
      <c r="I133"/>
      <c r="J133"/>
      <c r="K133"/>
    </row>
    <row r="134" spans="1:11" ht="15">
      <c r="A134" s="8" t="s">
        <v>61</v>
      </c>
      <c r="B134" s="4">
        <f>VLOOKUP(Vlookup!B93,'CDCM Forecast Data'!$A$14:$I$271,7,FALSE)</f>
        <v>0.76581938451320009</v>
      </c>
      <c r="C134" s="4">
        <f>VLOOKUP(Vlookup!C93,'CDCM Forecast Data'!$A$14:$I$271,7,FALSE)</f>
        <v>0.6115171758902811</v>
      </c>
      <c r="D134" s="7"/>
      <c r="E134"/>
      <c r="F134"/>
      <c r="G134"/>
      <c r="H134"/>
      <c r="I134"/>
      <c r="J134"/>
      <c r="K134"/>
    </row>
    <row r="135" spans="1:11" ht="15">
      <c r="A135" s="8" t="s">
        <v>73</v>
      </c>
      <c r="B135" s="4">
        <f>VLOOKUP(Vlookup!B94,'CDCM Forecast Data'!$A$14:$I$271,7,FALSE)</f>
        <v>0.8005762642301345</v>
      </c>
      <c r="C135" s="4">
        <f>VLOOKUP(Vlookup!C94,'CDCM Forecast Data'!$A$14:$I$271,7,FALSE)</f>
        <v>0.72287194628784801</v>
      </c>
      <c r="D135" s="7"/>
      <c r="E135"/>
      <c r="F135"/>
      <c r="G135"/>
      <c r="H135"/>
      <c r="I135"/>
      <c r="J135"/>
      <c r="K135"/>
    </row>
    <row r="136" spans="1:11" ht="15">
      <c r="A136" s="8" t="s">
        <v>93</v>
      </c>
      <c r="B136" s="4">
        <f>VLOOKUP(Vlookup!B95,'CDCM Forecast Data'!$A$14:$I$271,7,FALSE)</f>
        <v>1</v>
      </c>
      <c r="C136" s="4">
        <f>VLOOKUP(Vlookup!C95,'CDCM Forecast Data'!$A$14:$I$271,7,FALSE)</f>
        <v>1</v>
      </c>
      <c r="D136" s="7" t="s">
        <v>224</v>
      </c>
      <c r="E136"/>
      <c r="F136"/>
      <c r="G136"/>
      <c r="H136"/>
      <c r="I136"/>
      <c r="J136"/>
      <c r="K136"/>
    </row>
    <row r="137" spans="1:11" ht="15">
      <c r="A137" s="8" t="s">
        <v>94</v>
      </c>
      <c r="B137" s="4">
        <f>VLOOKUP(Vlookup!B96,'CDCM Forecast Data'!$A$14:$I$271,7,FALSE)</f>
        <v>0.98387596899224805</v>
      </c>
      <c r="C137" s="4">
        <f>VLOOKUP(Vlookup!C96,'CDCM Forecast Data'!$A$14:$I$271,7,FALSE)</f>
        <v>0.47495478910775929</v>
      </c>
      <c r="D137" s="7"/>
      <c r="E137"/>
      <c r="F137"/>
      <c r="G137"/>
      <c r="H137"/>
      <c r="I137"/>
      <c r="J137"/>
      <c r="K137"/>
    </row>
    <row r="138" spans="1:11" ht="15">
      <c r="A138" s="8" t="s">
        <v>95</v>
      </c>
      <c r="B138" s="4">
        <f>VLOOKUP(Vlookup!B97,'CDCM Forecast Data'!$A$14:$I$271,7,FALSE)</f>
        <v>0.88050584275830202</v>
      </c>
      <c r="C138" s="4">
        <f>VLOOKUP(Vlookup!C97,'CDCM Forecast Data'!$A$14:$I$271,7,FALSE)</f>
        <v>0.24631614975022856</v>
      </c>
      <c r="D138" s="7"/>
      <c r="E138"/>
      <c r="F138"/>
      <c r="G138"/>
      <c r="H138"/>
      <c r="I138"/>
      <c r="J138"/>
      <c r="K138"/>
    </row>
    <row r="139" spans="1:11" ht="15">
      <c r="A139" s="8" t="s">
        <v>96</v>
      </c>
      <c r="B139" s="4">
        <f>VLOOKUP(Vlookup!B98,'CDCM Forecast Data'!$A$14:$I$271,7,FALSE)</f>
        <v>0</v>
      </c>
      <c r="C139" s="4">
        <f>VLOOKUP(Vlookup!C98,'CDCM Forecast Data'!$A$14:$I$271,7,FALSE)</f>
        <v>0.51526593887289751</v>
      </c>
      <c r="D139" s="7"/>
      <c r="E139"/>
      <c r="F139"/>
      <c r="G139"/>
      <c r="H139"/>
      <c r="I139"/>
      <c r="J139"/>
      <c r="K139"/>
    </row>
    <row r="140" spans="1:11" ht="15">
      <c r="A140" s="8" t="s">
        <v>97</v>
      </c>
      <c r="B140" s="4">
        <f>VLOOKUP(Vlookup!B99,'CDCM Forecast Data'!$A$14:$I$271,7,FALSE)</f>
        <v>0.97137455011863161</v>
      </c>
      <c r="C140" s="4">
        <f>VLOOKUP(Vlookup!C99,'CDCM Forecast Data'!$A$14:$I$271,7,FALSE)</f>
        <v>0.45549294344669516</v>
      </c>
      <c r="D140" s="7" t="s">
        <v>224</v>
      </c>
      <c r="E140"/>
      <c r="F140"/>
      <c r="G140"/>
      <c r="H140"/>
      <c r="I140"/>
      <c r="J140"/>
      <c r="K140"/>
    </row>
    <row r="141" spans="1:11" ht="15">
      <c r="A141"/>
      <c r="B141"/>
      <c r="C141"/>
      <c r="D141"/>
      <c r="E141"/>
      <c r="F141"/>
      <c r="G141"/>
      <c r="H141"/>
      <c r="I141"/>
      <c r="J141"/>
      <c r="K141"/>
    </row>
    <row r="142" spans="1:11" ht="19.5">
      <c r="A142" s="1" t="s">
        <v>98</v>
      </c>
      <c r="B142"/>
      <c r="C142"/>
      <c r="D142"/>
      <c r="E142"/>
      <c r="F142"/>
      <c r="G142"/>
      <c r="H142"/>
      <c r="I142"/>
      <c r="J142"/>
      <c r="K142"/>
    </row>
    <row r="143" spans="1:11" ht="15">
      <c r="A143" s="2" t="s">
        <v>224</v>
      </c>
      <c r="B143">
        <v>18</v>
      </c>
      <c r="C143">
        <v>19</v>
      </c>
      <c r="D143">
        <v>20</v>
      </c>
      <c r="E143">
        <v>21</v>
      </c>
      <c r="F143">
        <v>22</v>
      </c>
      <c r="G143">
        <v>23</v>
      </c>
      <c r="H143">
        <v>24</v>
      </c>
      <c r="I143"/>
      <c r="J143"/>
      <c r="K143"/>
    </row>
    <row r="144" spans="1:11" ht="15">
      <c r="A144" s="2" t="s">
        <v>99</v>
      </c>
      <c r="B144"/>
      <c r="C144"/>
      <c r="D144"/>
      <c r="E144"/>
      <c r="F144"/>
      <c r="G144"/>
      <c r="H144"/>
      <c r="I144"/>
      <c r="J144"/>
      <c r="K144"/>
    </row>
    <row r="145" spans="1:12" ht="15">
      <c r="A145" s="2" t="s">
        <v>100</v>
      </c>
      <c r="B145"/>
      <c r="C145"/>
      <c r="D145"/>
      <c r="E145"/>
      <c r="F145"/>
      <c r="G145"/>
      <c r="H145"/>
      <c r="I145"/>
      <c r="J145"/>
      <c r="K145"/>
    </row>
    <row r="146" spans="1:12" ht="15">
      <c r="A146" t="s">
        <v>101</v>
      </c>
      <c r="B146"/>
      <c r="C146"/>
      <c r="D146"/>
      <c r="E146"/>
      <c r="F146"/>
      <c r="G146"/>
      <c r="H146"/>
      <c r="I146"/>
      <c r="J146"/>
      <c r="K146"/>
    </row>
    <row r="147" spans="1:12" ht="30">
      <c r="A147"/>
      <c r="B147" s="3" t="s">
        <v>102</v>
      </c>
      <c r="C147" s="3" t="s">
        <v>103</v>
      </c>
      <c r="D147" s="3" t="s">
        <v>104</v>
      </c>
      <c r="E147" s="3" t="s">
        <v>105</v>
      </c>
      <c r="F147" s="3" t="s">
        <v>106</v>
      </c>
      <c r="G147" s="284" t="s">
        <v>1569</v>
      </c>
      <c r="H147" s="3" t="s">
        <v>107</v>
      </c>
      <c r="I147"/>
      <c r="J147"/>
      <c r="K147"/>
      <c r="L147"/>
    </row>
    <row r="148" spans="1:12" ht="15">
      <c r="A148" s="12" t="s">
        <v>108</v>
      </c>
      <c r="B148" s="13">
        <f>VLOOKUP(Vlookup!$B107,'CDCM Volume Forecasts'!$A$28:$AL$136,B$143,FALSE)</f>
        <v>0</v>
      </c>
      <c r="C148" s="13">
        <f>VLOOKUP(Vlookup!$B107,'CDCM Volume Forecasts'!$A$28:$AL$136,C$143,FALSE)</f>
        <v>0</v>
      </c>
      <c r="D148" s="13">
        <f>VLOOKUP(Vlookup!$B107,'CDCM Volume Forecasts'!$A$28:$AL$136,D$143,FALSE)</f>
        <v>0</v>
      </c>
      <c r="E148" s="13">
        <f>VLOOKUP(Vlookup!$B107,'CDCM Volume Forecasts'!$A$28:$AL$136,E$143,FALSE)</f>
        <v>0</v>
      </c>
      <c r="F148" s="13">
        <f>VLOOKUP(Vlookup!$B107,'CDCM Volume Forecasts'!$A$28:$AL$136,F$143,FALSE)</f>
        <v>0</v>
      </c>
      <c r="G148" s="13"/>
      <c r="H148" s="13">
        <f>VLOOKUP(Vlookup!$B107,'CDCM Volume Forecasts'!$A$28:$AL$136,G$143,FALSE)</f>
        <v>0</v>
      </c>
      <c r="I148" s="7"/>
      <c r="J148"/>
      <c r="K148"/>
      <c r="L148"/>
    </row>
    <row r="149" spans="1:12" ht="15">
      <c r="A149" s="8" t="s">
        <v>54</v>
      </c>
      <c r="B149" s="266">
        <f>VLOOKUP(Vlookup!$B108,'CDCM Volume Forecasts'!$A$28:$AL$136,B$143,FALSE)</f>
        <v>4308328.1799358893</v>
      </c>
      <c r="C149" s="292"/>
      <c r="D149" s="292"/>
      <c r="E149" s="266">
        <f>VLOOKUP(Vlookup!$B108,'CDCM Volume Forecasts'!$A$28:$AL$136,E$143,FALSE)</f>
        <v>1249039.053009829</v>
      </c>
      <c r="F149" s="292"/>
      <c r="G149" s="292"/>
      <c r="H149" s="292"/>
      <c r="I149" s="7"/>
      <c r="J149"/>
      <c r="K149"/>
      <c r="L149"/>
    </row>
    <row r="150" spans="1:12" ht="15">
      <c r="A150" s="8" t="s">
        <v>109</v>
      </c>
      <c r="B150" s="266">
        <f>VLOOKUP(Vlookup!$B109,'CDCM Volume Forecasts'!$A$28:$AL$136,B$143,FALSE)</f>
        <v>17317.244984043104</v>
      </c>
      <c r="C150" s="292"/>
      <c r="D150" s="292"/>
      <c r="E150" s="266">
        <f>VLOOKUP(Vlookup!$B109,'CDCM Volume Forecasts'!$A$28:$AL$136,E$143,FALSE)</f>
        <v>6432.4704020547961</v>
      </c>
      <c r="F150" s="292"/>
      <c r="G150" s="292"/>
      <c r="H150" s="292"/>
      <c r="I150" s="7"/>
      <c r="J150"/>
      <c r="K150"/>
      <c r="L150"/>
    </row>
    <row r="151" spans="1:12" ht="15">
      <c r="A151" s="8" t="s">
        <v>110</v>
      </c>
      <c r="B151" s="266">
        <f>VLOOKUP(Vlookup!$B110,'CDCM Volume Forecasts'!$A$28:$AL$136,B$143,FALSE)</f>
        <v>30359.986233439653</v>
      </c>
      <c r="C151" s="292"/>
      <c r="D151" s="292"/>
      <c r="E151" s="266">
        <f>VLOOKUP(Vlookup!$B110,'CDCM Volume Forecasts'!$A$28:$AL$136,E$143,FALSE)</f>
        <v>11844.01251369863</v>
      </c>
      <c r="F151" s="292"/>
      <c r="G151" s="292"/>
      <c r="H151" s="292"/>
      <c r="I151" s="7"/>
      <c r="J151"/>
      <c r="K151"/>
      <c r="L151"/>
    </row>
    <row r="152" spans="1:12" ht="15">
      <c r="A152" s="12" t="s">
        <v>111</v>
      </c>
      <c r="B152" s="290"/>
      <c r="C152" s="290"/>
      <c r="D152" s="290"/>
      <c r="E152" s="290"/>
      <c r="F152" s="290"/>
      <c r="G152" s="290"/>
      <c r="H152" s="290"/>
      <c r="I152" s="7"/>
      <c r="J152"/>
      <c r="K152"/>
      <c r="L152"/>
    </row>
    <row r="153" spans="1:12" ht="15">
      <c r="A153" s="8" t="s">
        <v>55</v>
      </c>
      <c r="B153" s="266">
        <f>VLOOKUP(Vlookup!$B112,'CDCM Volume Forecasts'!$A$28:$AL$136,B$143,FALSE)</f>
        <v>607941.0703076917</v>
      </c>
      <c r="C153" s="266">
        <f>VLOOKUP(Vlookup!$B112,'CDCM Volume Forecasts'!$A$28:$AL$136,C$143,FALSE)</f>
        <v>664320.74235178798</v>
      </c>
      <c r="D153" s="292"/>
      <c r="E153" s="266">
        <f>VLOOKUP(Vlookup!$B112,'CDCM Volume Forecasts'!$A$28:$AL$136,E$143,FALSE)</f>
        <v>209037.51452636323</v>
      </c>
      <c r="F153" s="292"/>
      <c r="G153" s="292"/>
      <c r="H153" s="292"/>
      <c r="I153" s="7"/>
      <c r="J153"/>
      <c r="K153"/>
      <c r="L153"/>
    </row>
    <row r="154" spans="1:12" ht="15">
      <c r="A154" s="8" t="s">
        <v>112</v>
      </c>
      <c r="B154" s="266">
        <f>VLOOKUP(Vlookup!$B113,'CDCM Volume Forecasts'!$A$28:$AL$136,B$143,FALSE)</f>
        <v>996.33454580172418</v>
      </c>
      <c r="C154" s="266">
        <f>VLOOKUP(Vlookup!$B113,'CDCM Volume Forecasts'!$A$28:$AL$136,C$143,FALSE)</f>
        <v>464.31544950000011</v>
      </c>
      <c r="D154" s="292"/>
      <c r="E154" s="266">
        <f>VLOOKUP(Vlookup!$B113,'CDCM Volume Forecasts'!$A$28:$AL$136,E$143,FALSE)</f>
        <v>424.57848904109591</v>
      </c>
      <c r="F154" s="292"/>
      <c r="G154" s="292"/>
      <c r="H154" s="292"/>
      <c r="I154" s="7"/>
      <c r="J154"/>
      <c r="K154"/>
      <c r="L154"/>
    </row>
    <row r="155" spans="1:12" ht="15">
      <c r="A155" s="8" t="s">
        <v>113</v>
      </c>
      <c r="B155" s="266">
        <f>VLOOKUP(Vlookup!$B114,'CDCM Volume Forecasts'!$A$28:$AL$136,B$143,FALSE)</f>
        <v>958.18848680172437</v>
      </c>
      <c r="C155" s="266">
        <f>VLOOKUP(Vlookup!$B114,'CDCM Volume Forecasts'!$A$28:$AL$136,C$143,FALSE)</f>
        <v>407.95688506034486</v>
      </c>
      <c r="D155" s="292"/>
      <c r="E155" s="266">
        <f>VLOOKUP(Vlookup!$B114,'CDCM Volume Forecasts'!$A$28:$AL$136,E$143,FALSE)</f>
        <v>368.39690136986303</v>
      </c>
      <c r="F155" s="292"/>
      <c r="G155" s="292"/>
      <c r="H155" s="292"/>
      <c r="I155" s="7"/>
      <c r="J155"/>
      <c r="K155"/>
      <c r="L155"/>
    </row>
    <row r="156" spans="1:12" ht="15">
      <c r="A156" s="12" t="s">
        <v>114</v>
      </c>
      <c r="B156" s="290"/>
      <c r="C156" s="290"/>
      <c r="D156" s="290"/>
      <c r="E156" s="290"/>
      <c r="F156" s="290"/>
      <c r="G156" s="290"/>
      <c r="H156" s="290"/>
      <c r="I156" s="7"/>
      <c r="J156"/>
      <c r="K156"/>
      <c r="L156"/>
    </row>
    <row r="157" spans="1:12" ht="15">
      <c r="A157" s="8" t="s">
        <v>91</v>
      </c>
      <c r="B157" s="266">
        <f>VLOOKUP(Vlookup!$B116,'CDCM Volume Forecasts'!$A$28:$AL$136,B$143,FALSE)</f>
        <v>45959.708361578618</v>
      </c>
      <c r="C157" s="292"/>
      <c r="D157" s="292"/>
      <c r="E157" s="266">
        <f>VLOOKUP(Vlookup!$B116,'CDCM Volume Forecasts'!$A$28:$AL$136,E$143,FALSE)</f>
        <v>15622</v>
      </c>
      <c r="F157" s="292"/>
      <c r="G157" s="292"/>
      <c r="H157" s="292"/>
      <c r="I157" s="7"/>
      <c r="J157"/>
      <c r="K157"/>
      <c r="L157"/>
    </row>
    <row r="158" spans="1:12" ht="15">
      <c r="A158" s="8" t="s">
        <v>115</v>
      </c>
      <c r="B158" s="266">
        <f>VLOOKUP(Vlookup!$B117,'CDCM Volume Forecasts'!$A$28:$AL$136,B$143,FALSE)</f>
        <v>0</v>
      </c>
      <c r="C158" s="292"/>
      <c r="D158" s="292"/>
      <c r="E158" s="266">
        <f>VLOOKUP(Vlookup!$B117,'CDCM Volume Forecasts'!$A$28:$AL$136,E$143,FALSE)</f>
        <v>0</v>
      </c>
      <c r="F158" s="292"/>
      <c r="G158" s="292"/>
      <c r="H158" s="292"/>
      <c r="I158" s="7"/>
      <c r="J158"/>
      <c r="K158"/>
      <c r="L158"/>
    </row>
    <row r="159" spans="1:12" ht="15">
      <c r="A159" s="8" t="s">
        <v>116</v>
      </c>
      <c r="B159" s="266">
        <f>VLOOKUP(Vlookup!$B118,'CDCM Volume Forecasts'!$A$28:$AL$136,B$143,FALSE)</f>
        <v>0</v>
      </c>
      <c r="C159" s="292"/>
      <c r="D159" s="292"/>
      <c r="E159" s="266">
        <f>VLOOKUP(Vlookup!$B118,'CDCM Volume Forecasts'!$A$28:$AL$136,E$143,FALSE)</f>
        <v>0</v>
      </c>
      <c r="F159" s="292"/>
      <c r="G159" s="292"/>
      <c r="H159" s="292"/>
      <c r="I159" s="7"/>
      <c r="J159"/>
      <c r="K159"/>
      <c r="L159"/>
    </row>
    <row r="160" spans="1:12" ht="15">
      <c r="A160" s="12" t="s">
        <v>117</v>
      </c>
      <c r="B160" s="290"/>
      <c r="C160" s="290"/>
      <c r="D160" s="290"/>
      <c r="E160" s="290"/>
      <c r="F160" s="290"/>
      <c r="G160" s="290"/>
      <c r="H160" s="290"/>
      <c r="I160" s="7"/>
      <c r="J160"/>
      <c r="K160"/>
      <c r="L160"/>
    </row>
    <row r="161" spans="1:12" ht="15">
      <c r="A161" s="8" t="s">
        <v>56</v>
      </c>
      <c r="B161" s="266">
        <f>VLOOKUP(Vlookup!$B120,'CDCM Volume Forecasts'!$A$28:$AL$136,B$143,FALSE)</f>
        <v>1179331.5292248435</v>
      </c>
      <c r="C161" s="292"/>
      <c r="D161" s="292"/>
      <c r="E161" s="266">
        <f>VLOOKUP(Vlookup!$B120,'CDCM Volume Forecasts'!$A$28:$AL$136,E$143,FALSE)</f>
        <v>110093.23974331518</v>
      </c>
      <c r="F161" s="292"/>
      <c r="G161" s="292"/>
      <c r="H161" s="292"/>
      <c r="I161" s="7"/>
      <c r="J161"/>
      <c r="K161"/>
      <c r="L161"/>
    </row>
    <row r="162" spans="1:12" ht="15">
      <c r="A162" s="8" t="s">
        <v>118</v>
      </c>
      <c r="B162" s="266">
        <f>VLOOKUP(Vlookup!$B121,'CDCM Volume Forecasts'!$A$28:$AL$136,B$143,FALSE)</f>
        <v>788.43675949137935</v>
      </c>
      <c r="C162" s="292"/>
      <c r="D162" s="292"/>
      <c r="E162" s="266">
        <f>VLOOKUP(Vlookup!$B121,'CDCM Volume Forecasts'!$A$28:$AL$136,E$143,FALSE)</f>
        <v>127.831401369863</v>
      </c>
      <c r="F162" s="292"/>
      <c r="G162" s="292"/>
      <c r="H162" s="292"/>
      <c r="I162" s="7"/>
      <c r="J162"/>
      <c r="K162"/>
      <c r="L162"/>
    </row>
    <row r="163" spans="1:12" ht="15">
      <c r="A163" s="8" t="s">
        <v>119</v>
      </c>
      <c r="B163" s="266">
        <f>VLOOKUP(Vlookup!$B122,'CDCM Volume Forecasts'!$A$28:$AL$136,B$143,FALSE)</f>
        <v>7392.7733794913811</v>
      </c>
      <c r="C163" s="292"/>
      <c r="D163" s="292"/>
      <c r="E163" s="266">
        <f>VLOOKUP(Vlookup!$B122,'CDCM Volume Forecasts'!$A$28:$AL$136,E$143,FALSE)</f>
        <v>462.20062191780835</v>
      </c>
      <c r="F163" s="292"/>
      <c r="G163" s="292"/>
      <c r="H163" s="292"/>
      <c r="I163" s="7"/>
      <c r="J163"/>
      <c r="K163"/>
      <c r="L163"/>
    </row>
    <row r="164" spans="1:12" ht="15">
      <c r="A164" s="12" t="s">
        <v>120</v>
      </c>
      <c r="B164" s="290"/>
      <c r="C164" s="290"/>
      <c r="D164" s="290"/>
      <c r="E164" s="290"/>
      <c r="F164" s="290"/>
      <c r="G164" s="290"/>
      <c r="H164" s="290"/>
      <c r="I164" s="7"/>
      <c r="J164"/>
      <c r="K164"/>
      <c r="L164"/>
    </row>
    <row r="165" spans="1:12" ht="15">
      <c r="A165" s="8" t="s">
        <v>57</v>
      </c>
      <c r="B165" s="266">
        <f>VLOOKUP(Vlookup!$B124,'CDCM Volume Forecasts'!$A$28:$AL$136,B$143,FALSE)</f>
        <v>394405.65408074018</v>
      </c>
      <c r="C165" s="266">
        <f>VLOOKUP(Vlookup!$B124,'CDCM Volume Forecasts'!$A$28:$AL$136,C$143,FALSE)</f>
        <v>183263.23104870663</v>
      </c>
      <c r="D165" s="292"/>
      <c r="E165" s="266">
        <f>VLOOKUP(Vlookup!$B124,'CDCM Volume Forecasts'!$A$28:$AL$136,E$143,FALSE)</f>
        <v>29443.268260965255</v>
      </c>
      <c r="F165" s="292"/>
      <c r="G165" s="292"/>
      <c r="H165" s="292"/>
      <c r="I165" s="7"/>
      <c r="J165"/>
      <c r="K165"/>
      <c r="L165"/>
    </row>
    <row r="166" spans="1:12" ht="15">
      <c r="A166" s="8" t="s">
        <v>121</v>
      </c>
      <c r="B166" s="266">
        <f>VLOOKUP(Vlookup!$B125,'CDCM Volume Forecasts'!$A$28:$AL$136,B$143,FALSE)</f>
        <v>41.250505112068964</v>
      </c>
      <c r="C166" s="266">
        <f>VLOOKUP(Vlookup!$B125,'CDCM Volume Forecasts'!$A$28:$AL$136,C$143,FALSE)</f>
        <v>17.318100413793108</v>
      </c>
      <c r="D166" s="292"/>
      <c r="E166" s="266">
        <f>VLOOKUP(Vlookup!$B125,'CDCM Volume Forecasts'!$A$28:$AL$136,E$143,FALSE)</f>
        <v>2.757156164383562</v>
      </c>
      <c r="F166" s="292"/>
      <c r="G166" s="292"/>
      <c r="H166" s="292"/>
      <c r="I166" s="7"/>
      <c r="J166"/>
      <c r="K166"/>
      <c r="L166"/>
    </row>
    <row r="167" spans="1:12" ht="15">
      <c r="A167" s="8" t="s">
        <v>122</v>
      </c>
      <c r="B167" s="266">
        <f>VLOOKUP(Vlookup!$B126,'CDCM Volume Forecasts'!$A$28:$AL$136,B$143,FALSE)</f>
        <v>926.24888312068981</v>
      </c>
      <c r="C167" s="266">
        <f>VLOOKUP(Vlookup!$B126,'CDCM Volume Forecasts'!$A$28:$AL$136,C$143,FALSE)</f>
        <v>260.32896822413795</v>
      </c>
      <c r="D167" s="292"/>
      <c r="E167" s="266">
        <f>VLOOKUP(Vlookup!$B126,'CDCM Volume Forecasts'!$A$28:$AL$136,E$143,FALSE)</f>
        <v>23.554836986301375</v>
      </c>
      <c r="F167" s="292"/>
      <c r="G167" s="292"/>
      <c r="H167" s="292"/>
      <c r="I167" s="7"/>
      <c r="J167"/>
      <c r="K167"/>
      <c r="L167"/>
    </row>
    <row r="168" spans="1:12" ht="15">
      <c r="A168" s="12" t="s">
        <v>123</v>
      </c>
      <c r="B168" s="290"/>
      <c r="C168" s="290"/>
      <c r="D168" s="290"/>
      <c r="E168" s="290"/>
      <c r="F168" s="290"/>
      <c r="G168" s="290"/>
      <c r="H168" s="290"/>
      <c r="I168" s="7"/>
      <c r="J168"/>
      <c r="K168"/>
      <c r="L168"/>
    </row>
    <row r="169" spans="1:12" ht="15">
      <c r="A169" s="8" t="s">
        <v>92</v>
      </c>
      <c r="B169" s="266">
        <f>VLOOKUP(Vlookup!$B128,'CDCM Volume Forecasts'!$A$28:$AL$136,B$143,FALSE)</f>
        <v>17319.819478475714</v>
      </c>
      <c r="C169" s="292"/>
      <c r="D169" s="292"/>
      <c r="E169" s="266">
        <f>VLOOKUP(Vlookup!$B128,'CDCM Volume Forecasts'!$A$28:$AL$136,E$143,FALSE)</f>
        <v>3339</v>
      </c>
      <c r="F169" s="292"/>
      <c r="G169" s="292"/>
      <c r="H169" s="292"/>
      <c r="I169" s="7"/>
      <c r="J169"/>
      <c r="K169"/>
      <c r="L169"/>
    </row>
    <row r="170" spans="1:12" ht="30">
      <c r="A170" s="8" t="s">
        <v>124</v>
      </c>
      <c r="B170" s="266">
        <f>VLOOKUP(Vlookup!$B129,'CDCM Volume Forecasts'!$A$28:$AL$136,B$143,FALSE)</f>
        <v>0</v>
      </c>
      <c r="C170" s="292"/>
      <c r="D170" s="292"/>
      <c r="E170" s="266">
        <f>VLOOKUP(Vlookup!$B129,'CDCM Volume Forecasts'!$A$28:$AL$136,E$143,FALSE)</f>
        <v>0</v>
      </c>
      <c r="F170" s="292"/>
      <c r="G170" s="292"/>
      <c r="H170" s="292"/>
      <c r="I170" s="7"/>
      <c r="J170"/>
      <c r="K170"/>
      <c r="L170"/>
    </row>
    <row r="171" spans="1:12" ht="30">
      <c r="A171" s="8" t="s">
        <v>125</v>
      </c>
      <c r="B171" s="266">
        <f>VLOOKUP(Vlookup!$B130,'CDCM Volume Forecasts'!$A$28:$AL$136,B$143,FALSE)</f>
        <v>0</v>
      </c>
      <c r="C171" s="292"/>
      <c r="D171" s="292"/>
      <c r="E171" s="266">
        <f>VLOOKUP(Vlookup!$B130,'CDCM Volume Forecasts'!$A$28:$AL$136,E$143,FALSE)</f>
        <v>0</v>
      </c>
      <c r="F171" s="292"/>
      <c r="G171" s="292"/>
      <c r="H171" s="292"/>
      <c r="I171" s="7"/>
      <c r="J171"/>
      <c r="K171"/>
      <c r="L171"/>
    </row>
    <row r="172" spans="1:12" ht="15">
      <c r="A172" s="12" t="s">
        <v>126</v>
      </c>
      <c r="B172" s="290"/>
      <c r="C172" s="290"/>
      <c r="D172" s="290"/>
      <c r="E172" s="290"/>
      <c r="F172" s="290"/>
      <c r="G172" s="290"/>
      <c r="H172" s="290"/>
      <c r="I172" s="7"/>
      <c r="J172"/>
      <c r="K172"/>
      <c r="L172"/>
    </row>
    <row r="173" spans="1:12" ht="15">
      <c r="A173" s="8" t="s">
        <v>58</v>
      </c>
      <c r="B173" s="266">
        <f>VLOOKUP(Vlookup!$B132,'CDCM Volume Forecasts'!$A$28:$AL$136,B$143,FALSE)</f>
        <v>8.0133204024159801E-4</v>
      </c>
      <c r="C173" s="266">
        <f>VLOOKUP(Vlookup!$B132,'CDCM Volume Forecasts'!$A$28:$AL$136,C$143,FALSE)</f>
        <v>1.9866795975840209E-4</v>
      </c>
      <c r="D173" s="292"/>
      <c r="E173" s="266">
        <f>VLOOKUP(Vlookup!$B132,'CDCM Volume Forecasts'!$A$28:$AL$136,E$143,FALSE)</f>
        <v>1.1375306250331345E-5</v>
      </c>
      <c r="F173" s="292"/>
      <c r="G173" s="292"/>
      <c r="H173" s="292"/>
      <c r="I173" s="7"/>
      <c r="J173"/>
      <c r="K173"/>
      <c r="L173"/>
    </row>
    <row r="174" spans="1:12" ht="15">
      <c r="A174" s="8" t="s">
        <v>127</v>
      </c>
      <c r="B174" s="266">
        <f>VLOOKUP(Vlookup!$B133,'CDCM Volume Forecasts'!$A$28:$AL$136,B$143,FALSE)</f>
        <v>0</v>
      </c>
      <c r="C174" s="266">
        <f>VLOOKUP(Vlookup!$B133,'CDCM Volume Forecasts'!$A$28:$AL$136,C$143,FALSE)</f>
        <v>0</v>
      </c>
      <c r="D174" s="292"/>
      <c r="E174" s="266">
        <f>VLOOKUP(Vlookup!$B133,'CDCM Volume Forecasts'!$A$28:$AL$136,E$143,FALSE)</f>
        <v>0</v>
      </c>
      <c r="F174" s="292"/>
      <c r="G174" s="292"/>
      <c r="H174" s="292"/>
      <c r="I174" s="7"/>
      <c r="J174"/>
      <c r="K174"/>
      <c r="L174"/>
    </row>
    <row r="175" spans="1:12" ht="15">
      <c r="A175" s="8" t="s">
        <v>128</v>
      </c>
      <c r="B175" s="266">
        <f>VLOOKUP(Vlookup!$B134,'CDCM Volume Forecasts'!$A$28:$AL$136,B$143,FALSE)</f>
        <v>0</v>
      </c>
      <c r="C175" s="266">
        <f>VLOOKUP(Vlookup!$B134,'CDCM Volume Forecasts'!$A$28:$AL$136,C$143,FALSE)</f>
        <v>0</v>
      </c>
      <c r="D175" s="292"/>
      <c r="E175" s="266">
        <f>VLOOKUP(Vlookup!$B134,'CDCM Volume Forecasts'!$A$28:$AL$136,E$143,FALSE)</f>
        <v>0</v>
      </c>
      <c r="F175" s="292"/>
      <c r="G175" s="292"/>
      <c r="H175" s="292"/>
      <c r="I175" s="7"/>
      <c r="J175"/>
      <c r="K175"/>
      <c r="L175"/>
    </row>
    <row r="176" spans="1:12" ht="15">
      <c r="A176" s="12" t="s">
        <v>129</v>
      </c>
      <c r="B176" s="290"/>
      <c r="C176" s="290"/>
      <c r="D176" s="290"/>
      <c r="E176" s="290"/>
      <c r="F176" s="290"/>
      <c r="G176" s="290"/>
      <c r="H176" s="290"/>
      <c r="I176" s="7"/>
      <c r="J176"/>
      <c r="K176"/>
      <c r="L176"/>
    </row>
    <row r="177" spans="1:12" ht="15">
      <c r="A177" s="8" t="s">
        <v>59</v>
      </c>
      <c r="B177" s="266">
        <f>VLOOKUP(Vlookup!$B136,'CDCM Volume Forecasts'!$A$28:$AL$136,B$143,FALSE)</f>
        <v>7.8187632481715845E-4</v>
      </c>
      <c r="C177" s="266">
        <f>VLOOKUP(Vlookup!$B136,'CDCM Volume Forecasts'!$A$28:$AL$136,C$143,FALSE)</f>
        <v>2.1812367518284149E-4</v>
      </c>
      <c r="D177" s="292"/>
      <c r="E177" s="266">
        <f>VLOOKUP(Vlookup!$B136,'CDCM Volume Forecasts'!$A$28:$AL$136,E$143,FALSE)</f>
        <v>8.3651490727006342E-6</v>
      </c>
      <c r="F177" s="292"/>
      <c r="G177" s="292"/>
      <c r="H177" s="292"/>
      <c r="I177" s="7"/>
      <c r="J177"/>
      <c r="K177"/>
      <c r="L177"/>
    </row>
    <row r="178" spans="1:12" ht="15">
      <c r="A178" s="12" t="s">
        <v>130</v>
      </c>
      <c r="B178" s="290"/>
      <c r="C178" s="290"/>
      <c r="D178" s="290"/>
      <c r="E178" s="290"/>
      <c r="F178" s="290"/>
      <c r="G178" s="290"/>
      <c r="H178" s="290"/>
      <c r="I178" s="7"/>
      <c r="J178"/>
      <c r="K178"/>
      <c r="L178"/>
    </row>
    <row r="179" spans="1:12" ht="15">
      <c r="A179" s="8" t="s">
        <v>72</v>
      </c>
      <c r="B179" s="266">
        <f>VLOOKUP(Vlookup!$B138,'CDCM Volume Forecasts'!$A$28:$AL$136,B$143,FALSE)</f>
        <v>7.7902953356325151E-4</v>
      </c>
      <c r="C179" s="266">
        <f>VLOOKUP(Vlookup!$B138,'CDCM Volume Forecasts'!$A$28:$AL$136,C$143,FALSE)</f>
        <v>2.2097046643674843E-4</v>
      </c>
      <c r="D179" s="292"/>
      <c r="E179" s="266">
        <f>VLOOKUP(Vlookup!$B138,'CDCM Volume Forecasts'!$A$28:$AL$136,E$143,FALSE)</f>
        <v>8.8911149421647205E-6</v>
      </c>
      <c r="F179" s="292"/>
      <c r="G179" s="292"/>
      <c r="H179" s="292"/>
      <c r="I179" s="7"/>
      <c r="J179"/>
      <c r="K179"/>
      <c r="L179"/>
    </row>
    <row r="180" spans="1:12" ht="15">
      <c r="A180" s="12" t="s">
        <v>1181</v>
      </c>
      <c r="B180" s="290"/>
      <c r="C180" s="290"/>
      <c r="D180" s="290"/>
      <c r="E180" s="290"/>
      <c r="F180" s="290"/>
      <c r="G180" s="290"/>
      <c r="H180" s="290"/>
      <c r="I180" s="7"/>
      <c r="J180"/>
      <c r="K180"/>
      <c r="L180"/>
    </row>
    <row r="181" spans="1:12" ht="15">
      <c r="A181" s="8" t="s">
        <v>1178</v>
      </c>
      <c r="B181" s="266">
        <f>VLOOKUP(Vlookup!$B140,'CDCM Volume Forecasts'!$A$28:$AL$136,B$143,FALSE)</f>
        <v>2.2038402354910721E-2</v>
      </c>
      <c r="C181" s="266">
        <f>VLOOKUP(Vlookup!$B140,'CDCM Volume Forecasts'!$A$28:$AL$136,C$143,FALSE)</f>
        <v>5.6003186010638299E-2</v>
      </c>
      <c r="D181" s="266">
        <f>VLOOKUP(Vlookup!$B140,'CDCM Volume Forecasts'!$A$28:$AL$136,D$143,FALSE)</f>
        <v>5.28921656517857E-2</v>
      </c>
      <c r="E181" s="266">
        <f>VLOOKUP(Vlookup!$B140,'CDCM Volume Forecasts'!$A$28:$AL$136,E$143,FALSE)</f>
        <v>8.4931506849315067E-2</v>
      </c>
      <c r="F181" s="292"/>
      <c r="G181" s="292"/>
      <c r="H181" s="292"/>
      <c r="I181" s="7"/>
      <c r="J181"/>
      <c r="K181"/>
      <c r="L181"/>
    </row>
    <row r="182" spans="1:12" ht="15">
      <c r="A182" s="8" t="s">
        <v>1175</v>
      </c>
      <c r="B182" s="266">
        <f>VLOOKUP(Vlookup!$B141,'CDCM Volume Forecasts'!$A$28:$AL$136,B$143,FALSE)</f>
        <v>0</v>
      </c>
      <c r="C182" s="266">
        <f>VLOOKUP(Vlookup!$B141,'CDCM Volume Forecasts'!$A$28:$AL$136,C$143,FALSE)</f>
        <v>0</v>
      </c>
      <c r="D182" s="266">
        <f>VLOOKUP(Vlookup!$B141,'CDCM Volume Forecasts'!$A$28:$AL$136,D$143,FALSE)</f>
        <v>0</v>
      </c>
      <c r="E182" s="266">
        <f>VLOOKUP(Vlookup!$B141,'CDCM Volume Forecasts'!$A$28:$AL$136,E$143,FALSE)</f>
        <v>0</v>
      </c>
      <c r="F182" s="292"/>
      <c r="G182" s="292"/>
      <c r="H182" s="292"/>
      <c r="I182" s="7"/>
      <c r="J182"/>
      <c r="K182"/>
      <c r="L182"/>
    </row>
    <row r="183" spans="1:12" ht="15">
      <c r="A183" s="8" t="s">
        <v>1172</v>
      </c>
      <c r="B183" s="266">
        <f>VLOOKUP(Vlookup!$B142,'CDCM Volume Forecasts'!$A$28:$AL$136,B$143,FALSE)</f>
        <v>0</v>
      </c>
      <c r="C183" s="266">
        <f>VLOOKUP(Vlookup!$B142,'CDCM Volume Forecasts'!$A$28:$AL$136,C$143,FALSE)</f>
        <v>0</v>
      </c>
      <c r="D183" s="266">
        <f>VLOOKUP(Vlookup!$B142,'CDCM Volume Forecasts'!$A$28:$AL$136,D$143,FALSE)</f>
        <v>0</v>
      </c>
      <c r="E183" s="266">
        <f>VLOOKUP(Vlookup!$B142,'CDCM Volume Forecasts'!$A$28:$AL$136,E$143,FALSE)</f>
        <v>0</v>
      </c>
      <c r="F183" s="292"/>
      <c r="G183" s="292"/>
      <c r="H183" s="292"/>
      <c r="I183" s="7"/>
      <c r="J183"/>
      <c r="K183"/>
      <c r="L183"/>
    </row>
    <row r="184" spans="1:12" ht="15">
      <c r="A184" s="12" t="s">
        <v>1180</v>
      </c>
      <c r="B184" s="290"/>
      <c r="C184" s="290"/>
      <c r="D184" s="290"/>
      <c r="E184" s="290"/>
      <c r="F184" s="290"/>
      <c r="G184" s="290"/>
      <c r="H184" s="290"/>
      <c r="I184" s="7"/>
      <c r="J184"/>
      <c r="K184"/>
      <c r="L184"/>
    </row>
    <row r="185" spans="1:12" ht="15">
      <c r="A185" s="8" t="s">
        <v>1177</v>
      </c>
      <c r="B185" s="266">
        <f>VLOOKUP(Vlookup!$B144,'CDCM Volume Forecasts'!$A$28:$AL$136,B$143,FALSE)</f>
        <v>26809.776329036184</v>
      </c>
      <c r="C185" s="266">
        <f>VLOOKUP(Vlookup!$B144,'CDCM Volume Forecasts'!$A$28:$AL$136,C$143,FALSE)</f>
        <v>198363.7566935535</v>
      </c>
      <c r="D185" s="266">
        <f>VLOOKUP(Vlookup!$B144,'CDCM Volume Forecasts'!$A$28:$AL$136,D$143,FALSE)</f>
        <v>187790.92736802268</v>
      </c>
      <c r="E185" s="266">
        <f>VLOOKUP(Vlookup!$B144,'CDCM Volume Forecasts'!$A$28:$AL$136,E$143,FALSE)</f>
        <v>6133.3604116966899</v>
      </c>
      <c r="F185" s="292"/>
      <c r="G185" s="292"/>
      <c r="H185" s="292"/>
      <c r="I185" s="7"/>
      <c r="J185"/>
      <c r="K185"/>
      <c r="L185"/>
    </row>
    <row r="186" spans="1:12" ht="15">
      <c r="A186" s="8" t="s">
        <v>1174</v>
      </c>
      <c r="B186" s="266">
        <f>VLOOKUP(Vlookup!$B145,'CDCM Volume Forecasts'!$A$28:$AL$136,B$143,FALSE)</f>
        <v>3.3157410088189661</v>
      </c>
      <c r="C186" s="266">
        <f>VLOOKUP(Vlookup!$B145,'CDCM Volume Forecasts'!$A$28:$AL$136,C$143,FALSE)</f>
        <v>24.610477729189657</v>
      </c>
      <c r="D186" s="266">
        <f>VLOOKUP(Vlookup!$B145,'CDCM Volume Forecasts'!$A$28:$AL$136,D$143,FALSE)</f>
        <v>26.227817446189661</v>
      </c>
      <c r="E186" s="266">
        <f>VLOOKUP(Vlookup!$B145,'CDCM Volume Forecasts'!$A$28:$AL$136,E$143,FALSE)</f>
        <v>1.1300991921225449</v>
      </c>
      <c r="F186" s="292"/>
      <c r="G186" s="292"/>
      <c r="H186" s="292"/>
      <c r="I186" s="7"/>
      <c r="J186"/>
      <c r="K186"/>
      <c r="L186"/>
    </row>
    <row r="187" spans="1:12" ht="15">
      <c r="A187" s="8" t="s">
        <v>1171</v>
      </c>
      <c r="B187" s="266">
        <f>VLOOKUP(Vlookup!$B146,'CDCM Volume Forecasts'!$A$28:$AL$136,B$143,FALSE)</f>
        <v>208.85522710830037</v>
      </c>
      <c r="C187" s="266">
        <f>VLOOKUP(Vlookup!$B146,'CDCM Volume Forecasts'!$A$28:$AL$136,C$143,FALSE)</f>
        <v>1439.9688025914054</v>
      </c>
      <c r="D187" s="266">
        <f>VLOOKUP(Vlookup!$B146,'CDCM Volume Forecasts'!$A$28:$AL$136,D$143,FALSE)</f>
        <v>1182.4128410746812</v>
      </c>
      <c r="E187" s="266">
        <f>VLOOKUP(Vlookup!$B146,'CDCM Volume Forecasts'!$A$28:$AL$136,E$143,FALSE)</f>
        <v>39.906605458800122</v>
      </c>
      <c r="F187" s="292"/>
      <c r="G187" s="292"/>
      <c r="H187" s="292"/>
      <c r="I187" s="7"/>
      <c r="J187"/>
      <c r="K187"/>
      <c r="L187"/>
    </row>
    <row r="188" spans="1:12" ht="15">
      <c r="A188" s="12" t="s">
        <v>131</v>
      </c>
      <c r="B188" s="290"/>
      <c r="C188" s="290"/>
      <c r="D188" s="290"/>
      <c r="E188" s="290"/>
      <c r="F188" s="290"/>
      <c r="G188" s="290"/>
      <c r="H188" s="290"/>
      <c r="I188" s="7"/>
      <c r="J188"/>
      <c r="K188"/>
      <c r="L188"/>
    </row>
    <row r="189" spans="1:12" ht="15">
      <c r="A189" s="8" t="s">
        <v>60</v>
      </c>
      <c r="B189" s="266">
        <f>VLOOKUP(Vlookup!$B148,'CDCM Volume Forecasts'!$A$28:$AL$136,B$143,FALSE)</f>
        <v>86224.938174458686</v>
      </c>
      <c r="C189" s="266">
        <f>VLOOKUP(Vlookup!$B148,'CDCM Volume Forecasts'!$A$28:$AL$136,C$143,FALSE)</f>
        <v>626406.11625046073</v>
      </c>
      <c r="D189" s="266">
        <f>VLOOKUP(Vlookup!$B148,'CDCM Volume Forecasts'!$A$28:$AL$136,D$143,FALSE)</f>
        <v>551384.49934371735</v>
      </c>
      <c r="E189" s="266">
        <f>VLOOKUP(Vlookup!$B148,'CDCM Volume Forecasts'!$A$28:$AL$136,E$143,FALSE)</f>
        <v>6675.4921517207349</v>
      </c>
      <c r="F189" s="266">
        <f>VLOOKUP(Vlookup!$B148,'CDCM Volume Forecasts'!$A$28:$AL$136,F$143,FALSE)</f>
        <v>679119.46093167306</v>
      </c>
      <c r="G189" s="266">
        <f>VLOOKUP(Vlookup!$B148,'CDCM Volume Forecasts'!$A$28:$AL$136,G$143,FALSE)</f>
        <v>12059.509748296468</v>
      </c>
      <c r="H189" s="266">
        <f>VLOOKUP(Vlookup!$B148,'CDCM Volume Forecasts'!$A$28:$AL$136,H$143,FALSE)</f>
        <v>78582.108886907372</v>
      </c>
      <c r="I189" s="7"/>
      <c r="J189"/>
      <c r="K189"/>
      <c r="L189"/>
    </row>
    <row r="190" spans="1:12" ht="15">
      <c r="A190" s="8" t="s">
        <v>132</v>
      </c>
      <c r="B190" s="266">
        <f>VLOOKUP(Vlookup!$B149,'CDCM Volume Forecasts'!$A$28:$AL$136,B$143,FALSE)</f>
        <v>26.670196333111619</v>
      </c>
      <c r="C190" s="266">
        <f>VLOOKUP(Vlookup!$B149,'CDCM Volume Forecasts'!$A$28:$AL$136,C$143,FALSE)</f>
        <v>184.90987519400832</v>
      </c>
      <c r="D190" s="266">
        <f>VLOOKUP(Vlookup!$B149,'CDCM Volume Forecasts'!$A$28:$AL$136,D$143,FALSE)</f>
        <v>189.04909032529565</v>
      </c>
      <c r="E190" s="266">
        <f>VLOOKUP(Vlookup!$B149,'CDCM Volume Forecasts'!$A$28:$AL$136,E$143,FALSE)</f>
        <v>3.6487097119870446</v>
      </c>
      <c r="F190" s="266">
        <f>VLOOKUP(Vlookup!$B149,'CDCM Volume Forecasts'!$A$28:$AL$136,F$143,FALSE)</f>
        <v>385.20564657534248</v>
      </c>
      <c r="G190" s="266">
        <f>VLOOKUP(Vlookup!$B149,'CDCM Volume Forecasts'!$A$28:$AL$136,G$143,FALSE)</f>
        <v>0</v>
      </c>
      <c r="H190" s="266">
        <f>VLOOKUP(Vlookup!$B149,'CDCM Volume Forecasts'!$A$28:$AL$136,H$143,FALSE)</f>
        <v>38.893499255172415</v>
      </c>
      <c r="I190" s="7"/>
      <c r="J190"/>
      <c r="K190"/>
      <c r="L190"/>
    </row>
    <row r="191" spans="1:12" ht="15">
      <c r="A191" s="8" t="s">
        <v>133</v>
      </c>
      <c r="B191" s="266">
        <f>VLOOKUP(Vlookup!$B150,'CDCM Volume Forecasts'!$A$28:$AL$136,B$143,FALSE)</f>
        <v>3033.5166612945895</v>
      </c>
      <c r="C191" s="266">
        <f>VLOOKUP(Vlookup!$B150,'CDCM Volume Forecasts'!$A$28:$AL$136,C$143,FALSE)</f>
        <v>19778.444486303983</v>
      </c>
      <c r="D191" s="266">
        <f>VLOOKUP(Vlookup!$B150,'CDCM Volume Forecasts'!$A$28:$AL$136,D$143,FALSE)</f>
        <v>17104.938488611111</v>
      </c>
      <c r="E191" s="266">
        <f>VLOOKUP(Vlookup!$B150,'CDCM Volume Forecasts'!$A$28:$AL$136,E$143,FALSE)</f>
        <v>102.52944728092592</v>
      </c>
      <c r="F191" s="266">
        <f>VLOOKUP(Vlookup!$B150,'CDCM Volume Forecasts'!$A$28:$AL$136,F$143,FALSE)</f>
        <v>21251.928945205484</v>
      </c>
      <c r="G191" s="266">
        <f>VLOOKUP(Vlookup!$B150,'CDCM Volume Forecasts'!$A$28:$AL$136,G$143,FALSE)</f>
        <v>85.518659589041107</v>
      </c>
      <c r="H191" s="266">
        <f>VLOOKUP(Vlookup!$B150,'CDCM Volume Forecasts'!$A$28:$AL$136,H$143,FALSE)</f>
        <v>1726.2375684206897</v>
      </c>
      <c r="I191" s="7"/>
      <c r="J191"/>
      <c r="K191"/>
      <c r="L191"/>
    </row>
    <row r="192" spans="1:12" ht="15">
      <c r="A192" s="12" t="s">
        <v>134</v>
      </c>
      <c r="B192" s="290"/>
      <c r="C192" s="290"/>
      <c r="D192" s="290"/>
      <c r="E192" s="290"/>
      <c r="F192" s="290"/>
      <c r="G192" s="290"/>
      <c r="H192" s="290"/>
      <c r="I192" s="7"/>
      <c r="J192"/>
      <c r="K192"/>
      <c r="L192"/>
    </row>
    <row r="193" spans="1:12" ht="15">
      <c r="A193" s="8" t="s">
        <v>61</v>
      </c>
      <c r="B193" s="266">
        <f>VLOOKUP(Vlookup!$B152,'CDCM Volume Forecasts'!$A$28:$AL$136,B$143,FALSE)</f>
        <v>49864.368371854573</v>
      </c>
      <c r="C193" s="266">
        <f>VLOOKUP(Vlookup!$B152,'CDCM Volume Forecasts'!$A$28:$AL$136,C$143,FALSE)</f>
        <v>369689.81514963449</v>
      </c>
      <c r="D193" s="266">
        <f>VLOOKUP(Vlookup!$B152,'CDCM Volume Forecasts'!$A$28:$AL$136,D$143,FALSE)</f>
        <v>340515.48335188109</v>
      </c>
      <c r="E193" s="266">
        <f>VLOOKUP(Vlookup!$B152,'CDCM Volume Forecasts'!$A$28:$AL$136,E$143,FALSE)</f>
        <v>1936.9854039786185</v>
      </c>
      <c r="F193" s="266">
        <f>VLOOKUP(Vlookup!$B152,'CDCM Volume Forecasts'!$A$28:$AL$136,F$143,FALSE)</f>
        <v>364556.94204575109</v>
      </c>
      <c r="G193" s="266">
        <f>VLOOKUP(Vlookup!$B152,'CDCM Volume Forecasts'!$A$28:$AL$136,G$143,FALSE)</f>
        <v>5286.8109888675162</v>
      </c>
      <c r="H193" s="266">
        <f>VLOOKUP(Vlookup!$B152,'CDCM Volume Forecasts'!$A$28:$AL$136,H$143,FALSE)</f>
        <v>65191.59809982658</v>
      </c>
      <c r="I193" s="7"/>
      <c r="J193"/>
      <c r="K193"/>
      <c r="L193"/>
    </row>
    <row r="194" spans="1:12" ht="15">
      <c r="A194" s="8" t="s">
        <v>135</v>
      </c>
      <c r="B194" s="266">
        <f>VLOOKUP(Vlookup!$B153,'CDCM Volume Forecasts'!$A$28:$AL$136,B$143,FALSE)</f>
        <v>7.3537928980044374</v>
      </c>
      <c r="C194" s="266">
        <f>VLOOKUP(Vlookup!$B153,'CDCM Volume Forecasts'!$A$28:$AL$136,C$143,FALSE)</f>
        <v>37.820208493355103</v>
      </c>
      <c r="D194" s="266">
        <f>VLOOKUP(Vlookup!$B153,'CDCM Volume Forecasts'!$A$28:$AL$136,D$143,FALSE)</f>
        <v>52.294666737338311</v>
      </c>
      <c r="E194" s="266">
        <f>VLOOKUP(Vlookup!$B153,'CDCM Volume Forecasts'!$A$28:$AL$136,E$143,FALSE)</f>
        <v>1.1758993150684933</v>
      </c>
      <c r="F194" s="266">
        <f>VLOOKUP(Vlookup!$B153,'CDCM Volume Forecasts'!$A$28:$AL$136,F$143,FALSE)</f>
        <v>626.75433493150683</v>
      </c>
      <c r="G194" s="266">
        <f>VLOOKUP(Vlookup!$B153,'CDCM Volume Forecasts'!$A$28:$AL$136,G$143,FALSE)</f>
        <v>0</v>
      </c>
      <c r="H194" s="266">
        <f>VLOOKUP(Vlookup!$B153,'CDCM Volume Forecasts'!$A$28:$AL$136,H$143,FALSE)</f>
        <v>1.4026004999999999</v>
      </c>
      <c r="I194" s="7"/>
      <c r="J194"/>
      <c r="K194"/>
      <c r="L194"/>
    </row>
    <row r="195" spans="1:12" ht="15">
      <c r="A195" s="12" t="s">
        <v>136</v>
      </c>
      <c r="B195" s="290"/>
      <c r="C195" s="290"/>
      <c r="D195" s="290"/>
      <c r="E195" s="290"/>
      <c r="F195" s="290"/>
      <c r="G195" s="290"/>
      <c r="H195" s="290"/>
      <c r="I195" s="7"/>
      <c r="J195"/>
      <c r="K195"/>
      <c r="L195"/>
    </row>
    <row r="196" spans="1:12" ht="15">
      <c r="A196" s="8" t="s">
        <v>73</v>
      </c>
      <c r="B196" s="266">
        <f>VLOOKUP(Vlookup!$B155,'CDCM Volume Forecasts'!$A$28:$AL$136,B$143,FALSE)</f>
        <v>153504.23635739877</v>
      </c>
      <c r="C196" s="266">
        <f>VLOOKUP(Vlookup!$B155,'CDCM Volume Forecasts'!$A$28:$AL$136,C$143,FALSE)</f>
        <v>1093420.3303867856</v>
      </c>
      <c r="D196" s="266">
        <f>VLOOKUP(Vlookup!$B155,'CDCM Volume Forecasts'!$A$28:$AL$136,D$143,FALSE)</f>
        <v>1183755.4135911537</v>
      </c>
      <c r="E196" s="266">
        <f>VLOOKUP(Vlookup!$B155,'CDCM Volume Forecasts'!$A$28:$AL$136,E$143,FALSE)</f>
        <v>1060.270602740768</v>
      </c>
      <c r="F196" s="266">
        <f>VLOOKUP(Vlookup!$B155,'CDCM Volume Forecasts'!$A$28:$AL$136,F$143,FALSE)</f>
        <v>854296.8159186152</v>
      </c>
      <c r="G196" s="266">
        <f>VLOOKUP(Vlookup!$B155,'CDCM Volume Forecasts'!$A$28:$AL$136,G$143,FALSE)</f>
        <v>14165.401246932342</v>
      </c>
      <c r="H196" s="266">
        <f>VLOOKUP(Vlookup!$B155,'CDCM Volume Forecasts'!$A$28:$AL$136,H$143,FALSE)</f>
        <v>163805.20245465485</v>
      </c>
      <c r="I196" s="7"/>
      <c r="J196"/>
      <c r="K196"/>
      <c r="L196"/>
    </row>
    <row r="197" spans="1:12" ht="15">
      <c r="A197" s="8" t="s">
        <v>137</v>
      </c>
      <c r="B197" s="266">
        <f>VLOOKUP(Vlookup!$B156,'CDCM Volume Forecasts'!$A$28:$AL$136,B$143,FALSE)</f>
        <v>835.56520149345931</v>
      </c>
      <c r="C197" s="266">
        <f>VLOOKUP(Vlookup!$B156,'CDCM Volume Forecasts'!$A$28:$AL$136,C$143,FALSE)</f>
        <v>5354.5554566887531</v>
      </c>
      <c r="D197" s="266">
        <f>VLOOKUP(Vlookup!$B156,'CDCM Volume Forecasts'!$A$28:$AL$136,D$143,FALSE)</f>
        <v>7404.6287378891438</v>
      </c>
      <c r="E197" s="266">
        <f>VLOOKUP(Vlookup!$B156,'CDCM Volume Forecasts'!$A$28:$AL$136,E$143,FALSE)</f>
        <v>7.7141773972602756</v>
      </c>
      <c r="F197" s="266">
        <f>VLOOKUP(Vlookup!$B156,'CDCM Volume Forecasts'!$A$28:$AL$136,F$143,FALSE)</f>
        <v>12519.13216438356</v>
      </c>
      <c r="G197" s="266">
        <f>VLOOKUP(Vlookup!$B156,'CDCM Volume Forecasts'!$A$28:$AL$136,G$143,FALSE)</f>
        <v>0</v>
      </c>
      <c r="H197" s="266">
        <f>VLOOKUP(Vlookup!$B156,'CDCM Volume Forecasts'!$A$28:$AL$136,H$143,FALSE)</f>
        <v>256.52510143448279</v>
      </c>
      <c r="I197" s="7"/>
      <c r="J197"/>
      <c r="K197"/>
      <c r="L197"/>
    </row>
    <row r="198" spans="1:12" ht="15">
      <c r="A198" s="12" t="s">
        <v>138</v>
      </c>
      <c r="B198" s="290"/>
      <c r="C198" s="290"/>
      <c r="D198" s="290"/>
      <c r="E198" s="290"/>
      <c r="F198" s="290"/>
      <c r="G198" s="290"/>
      <c r="H198" s="290"/>
      <c r="I198" s="7"/>
      <c r="J198"/>
      <c r="K198"/>
      <c r="L198"/>
    </row>
    <row r="199" spans="1:12" ht="15">
      <c r="A199" s="8" t="s">
        <v>93</v>
      </c>
      <c r="B199" s="266">
        <f>VLOOKUP(Vlookup!$B158,'CDCM Volume Forecasts'!$A$28:$AL$136,B$143,FALSE)</f>
        <v>10121.811870412395</v>
      </c>
      <c r="C199" s="292"/>
      <c r="D199" s="292"/>
      <c r="E199" s="266">
        <f>VLOOKUP(Vlookup!$B158,'CDCM Volume Forecasts'!$A$28:$AL$136,E$143,FALSE)</f>
        <v>741</v>
      </c>
      <c r="F199" s="292"/>
      <c r="G199" s="292"/>
      <c r="H199" s="292"/>
      <c r="I199" s="7"/>
      <c r="J199"/>
      <c r="K199"/>
      <c r="L199"/>
    </row>
    <row r="200" spans="1:12" ht="15">
      <c r="A200" s="8" t="s">
        <v>139</v>
      </c>
      <c r="B200" s="266">
        <f>VLOOKUP(Vlookup!$B159,'CDCM Volume Forecasts'!$A$28:$AL$136,B$143,FALSE)</f>
        <v>136.7981201637931</v>
      </c>
      <c r="C200" s="292"/>
      <c r="D200" s="292"/>
      <c r="E200" s="266">
        <f>VLOOKUP(Vlookup!$B159,'CDCM Volume Forecasts'!$A$28:$AL$136,E$143,FALSE)</f>
        <v>0</v>
      </c>
      <c r="F200" s="292"/>
      <c r="G200" s="292"/>
      <c r="H200" s="292"/>
      <c r="I200" s="7"/>
      <c r="J200"/>
      <c r="K200"/>
      <c r="L200"/>
    </row>
    <row r="201" spans="1:12" ht="15">
      <c r="A201" s="8" t="s">
        <v>140</v>
      </c>
      <c r="B201" s="266">
        <f>VLOOKUP(Vlookup!$B160,'CDCM Volume Forecasts'!$A$28:$AL$136,B$143,FALSE)</f>
        <v>23.736825</v>
      </c>
      <c r="C201" s="292"/>
      <c r="D201" s="292"/>
      <c r="E201" s="266">
        <f>VLOOKUP(Vlookup!$B160,'CDCM Volume Forecasts'!$A$28:$AL$136,E$143,FALSE)</f>
        <v>0</v>
      </c>
      <c r="F201" s="292"/>
      <c r="G201" s="292"/>
      <c r="H201" s="292"/>
      <c r="I201" s="7"/>
      <c r="J201"/>
      <c r="K201"/>
      <c r="L201"/>
    </row>
    <row r="202" spans="1:12" ht="15">
      <c r="A202" s="12" t="s">
        <v>141</v>
      </c>
      <c r="B202" s="290"/>
      <c r="C202" s="290"/>
      <c r="D202" s="290"/>
      <c r="E202" s="290"/>
      <c r="F202" s="290"/>
      <c r="G202" s="290"/>
      <c r="H202" s="290"/>
      <c r="I202" s="7"/>
      <c r="J202"/>
      <c r="K202"/>
      <c r="L202"/>
    </row>
    <row r="203" spans="1:12" ht="15">
      <c r="A203" s="8" t="s">
        <v>94</v>
      </c>
      <c r="B203" s="266">
        <f>VLOOKUP(Vlookup!$B162,'CDCM Volume Forecasts'!$A$28:$AL$136,B$143,FALSE)</f>
        <v>7712.9716131438981</v>
      </c>
      <c r="C203" s="292"/>
      <c r="D203" s="292"/>
      <c r="E203" s="266">
        <f>VLOOKUP(Vlookup!$B162,'CDCM Volume Forecasts'!$A$28:$AL$136,E$143,FALSE)</f>
        <v>689</v>
      </c>
      <c r="F203" s="292"/>
      <c r="G203" s="292"/>
      <c r="H203" s="292"/>
      <c r="I203" s="7"/>
      <c r="J203"/>
      <c r="K203"/>
      <c r="L203"/>
    </row>
    <row r="204" spans="1:12" ht="15">
      <c r="A204" s="8" t="s">
        <v>142</v>
      </c>
      <c r="B204" s="266">
        <f>VLOOKUP(Vlookup!$B163,'CDCM Volume Forecasts'!$A$28:$AL$136,B$143,FALSE)</f>
        <v>75.667019508620697</v>
      </c>
      <c r="C204" s="292"/>
      <c r="D204" s="292"/>
      <c r="E204" s="266">
        <f>VLOOKUP(Vlookup!$B163,'CDCM Volume Forecasts'!$A$28:$AL$136,E$143,FALSE)</f>
        <v>0</v>
      </c>
      <c r="F204" s="292"/>
      <c r="G204" s="292"/>
      <c r="H204" s="292"/>
      <c r="I204" s="7"/>
      <c r="J204"/>
      <c r="K204"/>
      <c r="L204"/>
    </row>
    <row r="205" spans="1:12" ht="15">
      <c r="A205" s="8" t="s">
        <v>143</v>
      </c>
      <c r="B205" s="266">
        <f>VLOOKUP(Vlookup!$B164,'CDCM Volume Forecasts'!$A$28:$AL$136,B$143,FALSE)</f>
        <v>301.33748599137931</v>
      </c>
      <c r="C205" s="292"/>
      <c r="D205" s="292"/>
      <c r="E205" s="266">
        <f>VLOOKUP(Vlookup!$B164,'CDCM Volume Forecasts'!$A$28:$AL$136,E$143,FALSE)</f>
        <v>0</v>
      </c>
      <c r="F205" s="292"/>
      <c r="G205" s="292"/>
      <c r="H205" s="292"/>
      <c r="I205" s="7"/>
      <c r="J205"/>
      <c r="K205"/>
      <c r="L205"/>
    </row>
    <row r="206" spans="1:12" ht="15">
      <c r="A206" s="12" t="s">
        <v>144</v>
      </c>
      <c r="B206" s="290"/>
      <c r="C206" s="290"/>
      <c r="D206" s="290"/>
      <c r="E206" s="290"/>
      <c r="F206" s="290"/>
      <c r="G206" s="290"/>
      <c r="H206" s="290"/>
      <c r="I206" s="7"/>
      <c r="J206"/>
      <c r="K206"/>
      <c r="L206"/>
    </row>
    <row r="207" spans="1:12" ht="15">
      <c r="A207" s="8" t="s">
        <v>95</v>
      </c>
      <c r="B207" s="266">
        <f>VLOOKUP(Vlookup!$B166,'CDCM Volume Forecasts'!$A$28:$AL$136,B$143,FALSE)</f>
        <v>989.1872895940935</v>
      </c>
      <c r="C207" s="292"/>
      <c r="D207" s="292"/>
      <c r="E207" s="266">
        <f>VLOOKUP(Vlookup!$B166,'CDCM Volume Forecasts'!$A$28:$AL$136,E$143,FALSE)</f>
        <v>179</v>
      </c>
      <c r="F207" s="292"/>
      <c r="G207" s="292"/>
      <c r="H207" s="292"/>
      <c r="I207" s="7"/>
      <c r="J207"/>
      <c r="K207"/>
      <c r="L207"/>
    </row>
    <row r="208" spans="1:12" ht="15">
      <c r="A208" s="8" t="s">
        <v>145</v>
      </c>
      <c r="B208" s="266">
        <f>VLOOKUP(Vlookup!$B167,'CDCM Volume Forecasts'!$A$28:$AL$136,B$143,FALSE)</f>
        <v>5.1353499568965537</v>
      </c>
      <c r="C208" s="292"/>
      <c r="D208" s="292"/>
      <c r="E208" s="266">
        <f>VLOOKUP(Vlookup!$B167,'CDCM Volume Forecasts'!$A$28:$AL$136,E$143,FALSE)</f>
        <v>0</v>
      </c>
      <c r="F208" s="292"/>
      <c r="G208" s="292"/>
      <c r="H208" s="292"/>
      <c r="I208" s="7"/>
      <c r="J208"/>
      <c r="K208"/>
      <c r="L208"/>
    </row>
    <row r="209" spans="1:12" ht="15">
      <c r="A209" s="8" t="s">
        <v>146</v>
      </c>
      <c r="B209" s="266">
        <f>VLOOKUP(Vlookup!$B168,'CDCM Volume Forecasts'!$A$28:$AL$136,B$143,FALSE)</f>
        <v>2.9883946810344835</v>
      </c>
      <c r="C209" s="292"/>
      <c r="D209" s="292"/>
      <c r="E209" s="266">
        <f>VLOOKUP(Vlookup!$B168,'CDCM Volume Forecasts'!$A$28:$AL$136,E$143,FALSE)</f>
        <v>0</v>
      </c>
      <c r="F209" s="292"/>
      <c r="G209" s="292"/>
      <c r="H209" s="292"/>
      <c r="I209" s="7"/>
      <c r="J209"/>
      <c r="K209"/>
      <c r="L209"/>
    </row>
    <row r="210" spans="1:12" ht="15">
      <c r="A210" s="12" t="s">
        <v>147</v>
      </c>
      <c r="B210" s="290"/>
      <c r="C210" s="290"/>
      <c r="D210" s="290"/>
      <c r="E210" s="290"/>
      <c r="F210" s="290"/>
      <c r="G210" s="290"/>
      <c r="H210" s="290"/>
      <c r="I210" s="7"/>
      <c r="J210"/>
      <c r="K210"/>
      <c r="L210"/>
    </row>
    <row r="211" spans="1:12" ht="15">
      <c r="A211" s="8" t="s">
        <v>96</v>
      </c>
      <c r="B211" s="266">
        <f>VLOOKUP(Vlookup!$B170,'CDCM Volume Forecasts'!$A$28:$AL$136,B$143,FALSE)</f>
        <v>0</v>
      </c>
      <c r="C211" s="292"/>
      <c r="D211" s="292"/>
      <c r="E211" s="266">
        <f>VLOOKUP(Vlookup!$B170,'CDCM Volume Forecasts'!$A$28:$AL$136,E$143,FALSE)</f>
        <v>1</v>
      </c>
      <c r="F211" s="292"/>
      <c r="G211" s="292"/>
      <c r="H211" s="292"/>
      <c r="I211" s="7"/>
      <c r="J211"/>
      <c r="K211"/>
      <c r="L211"/>
    </row>
    <row r="212" spans="1:12" ht="15">
      <c r="A212" s="8" t="s">
        <v>148</v>
      </c>
      <c r="B212" s="266">
        <f>VLOOKUP(Vlookup!$B171,'CDCM Volume Forecasts'!$A$28:$AL$136,B$143,FALSE)</f>
        <v>0</v>
      </c>
      <c r="C212" s="292"/>
      <c r="D212" s="292"/>
      <c r="E212" s="266">
        <f>VLOOKUP(Vlookup!$B171,'CDCM Volume Forecasts'!$A$28:$AL$136,E$143,FALSE)</f>
        <v>0</v>
      </c>
      <c r="F212" s="292"/>
      <c r="G212" s="292"/>
      <c r="H212" s="292"/>
      <c r="I212" s="7"/>
      <c r="J212"/>
      <c r="K212"/>
      <c r="L212"/>
    </row>
    <row r="213" spans="1:12" ht="15">
      <c r="A213" s="8" t="s">
        <v>149</v>
      </c>
      <c r="B213" s="266">
        <f>VLOOKUP(Vlookup!$B172,'CDCM Volume Forecasts'!$A$28:$AL$136,B$143,FALSE)</f>
        <v>0</v>
      </c>
      <c r="C213" s="292"/>
      <c r="D213" s="292"/>
      <c r="E213" s="266">
        <f>VLOOKUP(Vlookup!$B172,'CDCM Volume Forecasts'!$A$28:$AL$136,E$143,FALSE)</f>
        <v>0</v>
      </c>
      <c r="F213" s="292"/>
      <c r="G213" s="292"/>
      <c r="H213" s="292"/>
      <c r="I213" s="7"/>
      <c r="J213"/>
      <c r="K213"/>
      <c r="L213"/>
    </row>
    <row r="214" spans="1:12" ht="15">
      <c r="A214" s="12" t="s">
        <v>150</v>
      </c>
      <c r="B214" s="290"/>
      <c r="C214" s="290"/>
      <c r="D214" s="290"/>
      <c r="E214" s="290"/>
      <c r="F214" s="290"/>
      <c r="G214" s="290"/>
      <c r="H214" s="290"/>
      <c r="I214" s="7"/>
      <c r="J214"/>
      <c r="K214"/>
      <c r="L214"/>
    </row>
    <row r="215" spans="1:12" ht="15">
      <c r="A215" s="8" t="s">
        <v>97</v>
      </c>
      <c r="B215" s="266">
        <f>VLOOKUP(Vlookup!$B174,'CDCM Volume Forecasts'!$A$28:$AL$136,B$143,FALSE)</f>
        <v>4105.9859496450399</v>
      </c>
      <c r="C215" s="266">
        <f>VLOOKUP(Vlookup!$B174,'CDCM Volume Forecasts'!$A$28:$AL$136,C$143,FALSE)</f>
        <v>29544.034960210251</v>
      </c>
      <c r="D215" s="266">
        <f>VLOOKUP(Vlookup!$B174,'CDCM Volume Forecasts'!$A$28:$AL$136,D$143,FALSE)</f>
        <v>79785.804627936566</v>
      </c>
      <c r="E215" s="266">
        <f>VLOOKUP(Vlookup!$B174,'CDCM Volume Forecasts'!$A$28:$AL$136,E$143,FALSE)</f>
        <v>27.444162911866147</v>
      </c>
      <c r="F215" s="292"/>
      <c r="G215" s="292"/>
      <c r="H215" s="292"/>
      <c r="I215" s="7"/>
      <c r="J215"/>
      <c r="K215"/>
      <c r="L215"/>
    </row>
    <row r="216" spans="1:12" ht="15">
      <c r="A216" s="8" t="s">
        <v>151</v>
      </c>
      <c r="B216" s="266">
        <f>VLOOKUP(Vlookup!$B175,'CDCM Volume Forecasts'!$A$28:$AL$136,B$143,FALSE)</f>
        <v>0</v>
      </c>
      <c r="C216" s="266">
        <f>VLOOKUP(Vlookup!$B175,'CDCM Volume Forecasts'!$A$28:$AL$136,C$143,FALSE)</f>
        <v>0</v>
      </c>
      <c r="D216" s="266">
        <f>VLOOKUP(Vlookup!$B175,'CDCM Volume Forecasts'!$A$28:$AL$136,D$143,FALSE)</f>
        <v>0</v>
      </c>
      <c r="E216" s="266">
        <f>VLOOKUP(Vlookup!$B175,'CDCM Volume Forecasts'!$A$28:$AL$136,E$143,FALSE)</f>
        <v>0</v>
      </c>
      <c r="F216" s="292"/>
      <c r="G216" s="292"/>
      <c r="H216" s="292"/>
      <c r="I216" s="7"/>
      <c r="J216"/>
      <c r="K216"/>
      <c r="L216"/>
    </row>
    <row r="217" spans="1:12" ht="15">
      <c r="A217" s="8" t="s">
        <v>152</v>
      </c>
      <c r="B217" s="266">
        <f>VLOOKUP(Vlookup!$B176,'CDCM Volume Forecasts'!$A$28:$AL$136,B$143,FALSE)</f>
        <v>1.582648648170732</v>
      </c>
      <c r="C217" s="266">
        <f>VLOOKUP(Vlookup!$B176,'CDCM Volume Forecasts'!$A$28:$AL$136,C$143,FALSE)</f>
        <v>5.703542262359643</v>
      </c>
      <c r="D217" s="266">
        <f>VLOOKUP(Vlookup!$B176,'CDCM Volume Forecasts'!$A$28:$AL$136,D$143,FALSE)</f>
        <v>35.255484612621792</v>
      </c>
      <c r="E217" s="266">
        <f>VLOOKUP(Vlookup!$B176,'CDCM Volume Forecasts'!$A$28:$AL$136,E$143,FALSE)</f>
        <v>1.1758993150684933</v>
      </c>
      <c r="F217" s="292"/>
      <c r="G217" s="292"/>
      <c r="H217" s="292"/>
      <c r="I217" s="7"/>
      <c r="J217"/>
      <c r="K217"/>
      <c r="L217"/>
    </row>
    <row r="218" spans="1:12" ht="15">
      <c r="A218" s="288" t="s">
        <v>1179</v>
      </c>
      <c r="B218" s="290"/>
      <c r="C218" s="290"/>
      <c r="D218" s="290"/>
      <c r="E218" s="290"/>
      <c r="F218" s="290"/>
      <c r="G218" s="290"/>
      <c r="H218" s="290"/>
      <c r="I218" s="7"/>
      <c r="J218"/>
      <c r="K218"/>
      <c r="L218"/>
    </row>
    <row r="219" spans="1:12" ht="15">
      <c r="A219" s="285" t="s">
        <v>1176</v>
      </c>
      <c r="B219" s="266">
        <f>VLOOKUP(Vlookup!$B178,'CDCM Volume Forecasts'!$A$28:$AL$136,B$143,FALSE)</f>
        <v>3214.7578266896548</v>
      </c>
      <c r="C219" s="292"/>
      <c r="D219" s="292"/>
      <c r="E219" s="266">
        <f>VLOOKUP(Vlookup!$B178,'CDCM Volume Forecasts'!$A$28:$AL$136,E$143,FALSE)</f>
        <v>286</v>
      </c>
      <c r="F219" s="292"/>
      <c r="G219" s="292"/>
      <c r="H219" s="292"/>
      <c r="I219" s="7"/>
      <c r="J219"/>
      <c r="K219"/>
      <c r="L219"/>
    </row>
    <row r="220" spans="1:12" ht="15">
      <c r="A220" s="285" t="s">
        <v>1173</v>
      </c>
      <c r="B220" s="266">
        <f>VLOOKUP(Vlookup!$B179,'CDCM Volume Forecasts'!$A$28:$AL$136,B$143,FALSE)</f>
        <v>132.89592165517243</v>
      </c>
      <c r="C220" s="292"/>
      <c r="D220" s="292"/>
      <c r="E220" s="266">
        <f>VLOOKUP(Vlookup!$B179,'CDCM Volume Forecasts'!$A$28:$AL$136,E$143,FALSE)</f>
        <v>0</v>
      </c>
      <c r="F220" s="292"/>
      <c r="G220" s="292"/>
      <c r="H220" s="292"/>
      <c r="I220" s="7"/>
      <c r="J220"/>
      <c r="K220"/>
      <c r="L220"/>
    </row>
    <row r="221" spans="1:12" ht="15">
      <c r="A221" s="285" t="s">
        <v>1170</v>
      </c>
      <c r="B221" s="266">
        <f>VLOOKUP(Vlookup!$B180,'CDCM Volume Forecasts'!$A$28:$AL$136,B$143,FALSE)</f>
        <v>0</v>
      </c>
      <c r="C221" s="292"/>
      <c r="D221" s="292"/>
      <c r="E221" s="266">
        <f>VLOOKUP(Vlookup!$B180,'CDCM Volume Forecasts'!$A$28:$AL$136,E$143,FALSE)</f>
        <v>0</v>
      </c>
      <c r="F221" s="292"/>
      <c r="G221" s="292"/>
      <c r="H221" s="292"/>
      <c r="I221" s="7"/>
      <c r="J221"/>
      <c r="K221"/>
      <c r="L221"/>
    </row>
    <row r="222" spans="1:12" ht="15">
      <c r="A222" s="288" t="s">
        <v>153</v>
      </c>
      <c r="B222" s="290"/>
      <c r="C222" s="290"/>
      <c r="D222" s="290"/>
      <c r="E222" s="290"/>
      <c r="F222" s="290"/>
      <c r="G222" s="290"/>
      <c r="H222" s="290"/>
      <c r="I222" s="7"/>
      <c r="J222"/>
      <c r="K222"/>
      <c r="L222"/>
    </row>
    <row r="223" spans="1:12" ht="15">
      <c r="A223" s="285" t="s">
        <v>62</v>
      </c>
      <c r="B223" s="266">
        <f>VLOOKUP(Vlookup!$B182,'CDCM Volume Forecasts'!$A$28:$AL$136,B$143,FALSE)</f>
        <v>92.074856879310332</v>
      </c>
      <c r="C223" s="292"/>
      <c r="D223" s="292"/>
      <c r="E223" s="266">
        <f>VLOOKUP(Vlookup!$B182,'CDCM Volume Forecasts'!$A$28:$AL$136,E$143,FALSE)</f>
        <v>1</v>
      </c>
      <c r="F223" s="292"/>
      <c r="G223" s="292"/>
      <c r="H223" s="292"/>
      <c r="I223" s="7"/>
      <c r="J223"/>
      <c r="K223"/>
      <c r="L223"/>
    </row>
    <row r="224" spans="1:12" ht="15">
      <c r="A224" s="285" t="s">
        <v>154</v>
      </c>
      <c r="B224" s="266">
        <f>VLOOKUP(Vlookup!$B183,'CDCM Volume Forecasts'!$A$28:$AL$136,B$143,FALSE)</f>
        <v>0</v>
      </c>
      <c r="C224" s="292"/>
      <c r="D224" s="292"/>
      <c r="E224" s="266">
        <f>VLOOKUP(Vlookup!$B183,'CDCM Volume Forecasts'!$A$28:$AL$136,E$143,FALSE)</f>
        <v>0</v>
      </c>
      <c r="F224" s="292"/>
      <c r="G224" s="292"/>
      <c r="H224" s="292"/>
      <c r="I224" s="7"/>
      <c r="J224"/>
      <c r="K224"/>
      <c r="L224"/>
    </row>
    <row r="225" spans="1:12" ht="15">
      <c r="A225" s="288" t="s">
        <v>155</v>
      </c>
      <c r="B225" s="290"/>
      <c r="C225" s="290"/>
      <c r="D225" s="290"/>
      <c r="E225" s="290"/>
      <c r="F225" s="290"/>
      <c r="G225" s="290"/>
      <c r="H225" s="290"/>
      <c r="I225" s="7"/>
      <c r="J225"/>
      <c r="K225"/>
      <c r="L225"/>
    </row>
    <row r="226" spans="1:12" ht="15">
      <c r="A226" s="285" t="s">
        <v>63</v>
      </c>
      <c r="B226" s="266">
        <f>VLOOKUP(Vlookup!$B185,'CDCM Volume Forecasts'!$A$28:$AL$136,B$143,FALSE)</f>
        <v>78529.095040948305</v>
      </c>
      <c r="C226" s="292"/>
      <c r="D226" s="292"/>
      <c r="E226" s="266">
        <f>VLOOKUP(Vlookup!$B185,'CDCM Volume Forecasts'!$A$28:$AL$136,E$143,FALSE)</f>
        <v>887.02632534246584</v>
      </c>
      <c r="F226" s="292"/>
      <c r="G226" s="292"/>
      <c r="H226" s="266">
        <f>VLOOKUP(Vlookup!$B185,'CDCM Volume Forecasts'!$A$28:$AL$136,H$143,FALSE)</f>
        <v>6221.8592215431045</v>
      </c>
      <c r="I226" s="7"/>
      <c r="J226"/>
      <c r="K226"/>
      <c r="L226"/>
    </row>
    <row r="227" spans="1:12" ht="15">
      <c r="A227" s="285" t="s">
        <v>156</v>
      </c>
      <c r="B227" s="266">
        <f>VLOOKUP(Vlookup!$B186,'CDCM Volume Forecasts'!$A$28:$AL$136,B$143,FALSE)</f>
        <v>0</v>
      </c>
      <c r="C227" s="292"/>
      <c r="D227" s="292"/>
      <c r="E227" s="266">
        <f>VLOOKUP(Vlookup!$B186,'CDCM Volume Forecasts'!$A$28:$AL$136,E$143,FALSE)</f>
        <v>0</v>
      </c>
      <c r="F227" s="292"/>
      <c r="G227" s="292"/>
      <c r="H227" s="266">
        <f>VLOOKUP(Vlookup!$B186,'CDCM Volume Forecasts'!$A$28:$AL$136,H$143,FALSE)</f>
        <v>0</v>
      </c>
      <c r="I227" s="7"/>
      <c r="J227"/>
      <c r="K227"/>
      <c r="L227"/>
    </row>
    <row r="228" spans="1:12" ht="15">
      <c r="A228" s="285" t="s">
        <v>157</v>
      </c>
      <c r="B228" s="266">
        <f>VLOOKUP(Vlookup!$B187,'CDCM Volume Forecasts'!$A$28:$AL$136,B$143,FALSE)</f>
        <v>1158.4981509517236</v>
      </c>
      <c r="C228" s="292"/>
      <c r="D228" s="292"/>
      <c r="E228" s="266">
        <f>VLOOKUP(Vlookup!$B187,'CDCM Volume Forecasts'!$A$28:$AL$136,E$143,FALSE)</f>
        <v>3.2634739726027386</v>
      </c>
      <c r="F228" s="292"/>
      <c r="G228" s="292"/>
      <c r="H228" s="266">
        <f>VLOOKUP(Vlookup!$B187,'CDCM Volume Forecasts'!$A$28:$AL$136,H$143,FALSE)</f>
        <v>14.619248242758623</v>
      </c>
      <c r="I228" s="7"/>
      <c r="J228"/>
      <c r="K228"/>
      <c r="L228"/>
    </row>
    <row r="229" spans="1:12" ht="15">
      <c r="A229" s="288" t="s">
        <v>1559</v>
      </c>
      <c r="B229" s="290"/>
      <c r="C229" s="290"/>
      <c r="D229" s="290"/>
      <c r="E229" s="290"/>
      <c r="F229" s="290"/>
      <c r="G229" s="290"/>
      <c r="H229" s="290"/>
      <c r="I229" s="7"/>
      <c r="J229"/>
      <c r="K229"/>
      <c r="L229"/>
    </row>
    <row r="230" spans="1:12" ht="15">
      <c r="A230" s="285" t="s">
        <v>1516</v>
      </c>
      <c r="B230" s="266">
        <f>VLOOKUP(Vlookup!$B189,'CDCM Volume Forecasts'!$A$28:$AL$136,B$143,FALSE)</f>
        <v>0</v>
      </c>
      <c r="C230" s="292"/>
      <c r="D230" s="292"/>
      <c r="E230" s="266">
        <f>VLOOKUP(Vlookup!$B189,'CDCM Volume Forecasts'!$A$28:$AL$136,E$143,FALSE)</f>
        <v>0</v>
      </c>
      <c r="F230" s="292"/>
      <c r="G230" s="292"/>
      <c r="H230" s="292"/>
      <c r="I230" s="7"/>
      <c r="J230"/>
      <c r="K230"/>
      <c r="L230"/>
    </row>
    <row r="231" spans="1:12" ht="15">
      <c r="A231" s="288" t="s">
        <v>158</v>
      </c>
      <c r="B231" s="290"/>
      <c r="C231" s="290"/>
      <c r="D231" s="290"/>
      <c r="E231" s="290"/>
      <c r="F231" s="290"/>
      <c r="G231" s="290"/>
      <c r="H231" s="290"/>
      <c r="I231" s="7"/>
      <c r="J231"/>
      <c r="K231"/>
      <c r="L231"/>
    </row>
    <row r="232" spans="1:12" ht="15">
      <c r="A232" s="285" t="s">
        <v>64</v>
      </c>
      <c r="B232" s="266">
        <f>VLOOKUP(Vlookup!$B191,'CDCM Volume Forecasts'!$A$28:$AL$136,B$143,FALSE)</f>
        <v>150.22435028789201</v>
      </c>
      <c r="C232" s="266">
        <f>VLOOKUP(Vlookup!$B191,'CDCM Volume Forecasts'!$A$28:$AL$136,C$143,FALSE)</f>
        <v>933.01718610068747</v>
      </c>
      <c r="D232" s="266">
        <f>VLOOKUP(Vlookup!$B191,'CDCM Volume Forecasts'!$A$28:$AL$136,D$143,FALSE)</f>
        <v>1215.9778554005959</v>
      </c>
      <c r="E232" s="266">
        <f>VLOOKUP(Vlookup!$B191,'CDCM Volume Forecasts'!$A$28:$AL$136,E$143,FALSE)</f>
        <v>16.428914383561644</v>
      </c>
      <c r="F232" s="292"/>
      <c r="G232" s="292"/>
      <c r="H232" s="266">
        <f>VLOOKUP(Vlookup!$B191,'CDCM Volume Forecasts'!$A$28:$AL$136,H$143,FALSE)</f>
        <v>631.56368132758632</v>
      </c>
      <c r="I232" s="7"/>
      <c r="J232"/>
      <c r="K232"/>
      <c r="L232"/>
    </row>
    <row r="233" spans="1:12" ht="15">
      <c r="A233" s="285" t="s">
        <v>159</v>
      </c>
      <c r="B233" s="266">
        <f>VLOOKUP(Vlookup!$B192,'CDCM Volume Forecasts'!$A$28:$AL$136,B$143,FALSE)</f>
        <v>0</v>
      </c>
      <c r="C233" s="266">
        <f>VLOOKUP(Vlookup!$B192,'CDCM Volume Forecasts'!$A$28:$AL$136,C$143,FALSE)</f>
        <v>0</v>
      </c>
      <c r="D233" s="266">
        <f>VLOOKUP(Vlookup!$B192,'CDCM Volume Forecasts'!$A$28:$AL$136,D$143,FALSE)</f>
        <v>0</v>
      </c>
      <c r="E233" s="266">
        <f>VLOOKUP(Vlookup!$B192,'CDCM Volume Forecasts'!$A$28:$AL$136,E$143,FALSE)</f>
        <v>0</v>
      </c>
      <c r="F233" s="292"/>
      <c r="G233" s="292"/>
      <c r="H233" s="266">
        <f>VLOOKUP(Vlookup!$B192,'CDCM Volume Forecasts'!$A$28:$AL$136,H$143,FALSE)</f>
        <v>0</v>
      </c>
      <c r="I233" s="7"/>
      <c r="J233"/>
      <c r="K233"/>
      <c r="L233"/>
    </row>
    <row r="234" spans="1:12" ht="15">
      <c r="A234" s="285" t="s">
        <v>160</v>
      </c>
      <c r="B234" s="266">
        <f>VLOOKUP(Vlookup!$B193,'CDCM Volume Forecasts'!$A$28:$AL$136,B$143,FALSE)</f>
        <v>0</v>
      </c>
      <c r="C234" s="266">
        <f>VLOOKUP(Vlookup!$B193,'CDCM Volume Forecasts'!$A$28:$AL$136,C$143,FALSE)</f>
        <v>0</v>
      </c>
      <c r="D234" s="266">
        <f>VLOOKUP(Vlookup!$B193,'CDCM Volume Forecasts'!$A$28:$AL$136,D$143,FALSE)</f>
        <v>0</v>
      </c>
      <c r="E234" s="266">
        <f>VLOOKUP(Vlookup!$B193,'CDCM Volume Forecasts'!$A$28:$AL$136,E$143,FALSE)</f>
        <v>0</v>
      </c>
      <c r="F234" s="292"/>
      <c r="G234" s="292"/>
      <c r="H234" s="266">
        <f>VLOOKUP(Vlookup!$B193,'CDCM Volume Forecasts'!$A$28:$AL$136,H$143,FALSE)</f>
        <v>0</v>
      </c>
      <c r="I234" s="7"/>
      <c r="J234"/>
      <c r="K234"/>
      <c r="L234"/>
    </row>
    <row r="235" spans="1:12" ht="15">
      <c r="A235" s="288" t="s">
        <v>1560</v>
      </c>
      <c r="B235" s="290"/>
      <c r="C235" s="290"/>
      <c r="D235" s="290"/>
      <c r="E235" s="290"/>
      <c r="F235" s="290"/>
      <c r="G235" s="290"/>
      <c r="H235" s="290"/>
      <c r="I235" s="7"/>
      <c r="J235"/>
      <c r="K235"/>
      <c r="L235"/>
    </row>
    <row r="236" spans="1:12" ht="15">
      <c r="A236" s="285" t="s">
        <v>1517</v>
      </c>
      <c r="B236" s="266">
        <f>VLOOKUP(Vlookup!$B195,'CDCM Volume Forecasts'!$A$28:$AL$136,B$143,FALSE)</f>
        <v>0</v>
      </c>
      <c r="C236" s="266">
        <f>VLOOKUP(Vlookup!$B195,'CDCM Volume Forecasts'!$A$28:$AL$136,C$143,FALSE)</f>
        <v>0</v>
      </c>
      <c r="D236" s="266">
        <f>VLOOKUP(Vlookup!$B195,'CDCM Volume Forecasts'!$A$28:$AL$136,D$143,FALSE)</f>
        <v>0</v>
      </c>
      <c r="E236" s="266">
        <f>VLOOKUP(Vlookup!$B195,'CDCM Volume Forecasts'!$A$28:$AL$136,E$143,FALSE)</f>
        <v>0</v>
      </c>
      <c r="F236" s="292"/>
      <c r="G236" s="292"/>
      <c r="H236" s="292"/>
      <c r="I236" s="7"/>
      <c r="J236"/>
      <c r="K236"/>
      <c r="L236"/>
    </row>
    <row r="237" spans="1:12" ht="15">
      <c r="A237" s="288" t="s">
        <v>161</v>
      </c>
      <c r="B237" s="290"/>
      <c r="C237" s="290"/>
      <c r="D237" s="290"/>
      <c r="E237" s="290"/>
      <c r="F237" s="290"/>
      <c r="G237" s="290"/>
      <c r="H237" s="290"/>
      <c r="I237" s="7"/>
      <c r="J237"/>
      <c r="K237"/>
      <c r="L237"/>
    </row>
    <row r="238" spans="1:12" ht="15">
      <c r="A238" s="285" t="s">
        <v>65</v>
      </c>
      <c r="B238" s="266">
        <f>VLOOKUP(Vlookup!$B197,'CDCM Volume Forecasts'!$A$28:$AL$136,B$143,FALSE)</f>
        <v>13040.742602439654</v>
      </c>
      <c r="C238" s="292"/>
      <c r="D238" s="292"/>
      <c r="E238" s="266">
        <f>VLOOKUP(Vlookup!$B197,'CDCM Volume Forecasts'!$A$28:$AL$136,E$143,FALSE)</f>
        <v>121.63811301369863</v>
      </c>
      <c r="F238" s="292"/>
      <c r="G238" s="292"/>
      <c r="H238" s="266">
        <f>VLOOKUP(Vlookup!$B197,'CDCM Volume Forecasts'!$A$28:$AL$136,H$143,FALSE)</f>
        <v>1632.6222186810344</v>
      </c>
      <c r="I238" s="7"/>
      <c r="J238"/>
      <c r="K238"/>
      <c r="L238"/>
    </row>
    <row r="239" spans="1:12" ht="15">
      <c r="A239" s="285" t="s">
        <v>162</v>
      </c>
      <c r="B239" s="266">
        <f>VLOOKUP(Vlookup!$B198,'CDCM Volume Forecasts'!$A$28:$AL$136,B$143,FALSE)</f>
        <v>0</v>
      </c>
      <c r="C239" s="292"/>
      <c r="D239" s="292"/>
      <c r="E239" s="266">
        <f>VLOOKUP(Vlookup!$B198,'CDCM Volume Forecasts'!$A$28:$AL$136,E$143,FALSE)</f>
        <v>0</v>
      </c>
      <c r="F239" s="292"/>
      <c r="G239" s="292"/>
      <c r="H239" s="266">
        <f>VLOOKUP(Vlookup!$B198,'CDCM Volume Forecasts'!$A$28:$AL$136,H$143,FALSE)</f>
        <v>0</v>
      </c>
      <c r="I239" s="7"/>
      <c r="J239"/>
      <c r="K239"/>
      <c r="L239"/>
    </row>
    <row r="240" spans="1:12" ht="15">
      <c r="A240" s="288" t="s">
        <v>1561</v>
      </c>
      <c r="B240" s="290"/>
      <c r="C240" s="290"/>
      <c r="D240" s="290"/>
      <c r="E240" s="290"/>
      <c r="F240" s="290"/>
      <c r="G240" s="290"/>
      <c r="H240" s="290"/>
      <c r="I240" s="7"/>
      <c r="J240"/>
      <c r="K240"/>
      <c r="L240"/>
    </row>
    <row r="241" spans="1:12" ht="15">
      <c r="A241" s="285" t="s">
        <v>1518</v>
      </c>
      <c r="B241" s="266">
        <f>VLOOKUP(Vlookup!$B200,'CDCM Volume Forecasts'!$A$28:$AL$136,B$143,FALSE)</f>
        <v>0</v>
      </c>
      <c r="C241" s="292"/>
      <c r="D241" s="292"/>
      <c r="E241" s="266">
        <f>VLOOKUP(Vlookup!$B200,'CDCM Volume Forecasts'!$A$28:$AL$136,E$143,FALSE)</f>
        <v>0</v>
      </c>
      <c r="F241" s="292"/>
      <c r="G241" s="292"/>
      <c r="H241" s="292"/>
      <c r="I241" s="7"/>
      <c r="J241"/>
      <c r="K241"/>
      <c r="L241"/>
    </row>
    <row r="242" spans="1:12" ht="15">
      <c r="A242" s="288" t="s">
        <v>163</v>
      </c>
      <c r="B242" s="290"/>
      <c r="C242" s="290"/>
      <c r="D242" s="290"/>
      <c r="E242" s="290"/>
      <c r="F242" s="290"/>
      <c r="G242" s="290"/>
      <c r="H242" s="290"/>
      <c r="I242" s="7"/>
      <c r="J242"/>
      <c r="K242"/>
      <c r="L242"/>
    </row>
    <row r="243" spans="1:12" ht="15">
      <c r="A243" s="285" t="s">
        <v>66</v>
      </c>
      <c r="B243" s="266">
        <f>VLOOKUP(Vlookup!$B202,'CDCM Volume Forecasts'!$A$28:$AL$136,B$143,FALSE)</f>
        <v>262.77834065563309</v>
      </c>
      <c r="C243" s="266">
        <f>VLOOKUP(Vlookup!$B202,'CDCM Volume Forecasts'!$A$28:$AL$136,C$143,FALSE)</f>
        <v>1416.430282521459</v>
      </c>
      <c r="D243" s="266">
        <f>VLOOKUP(Vlookup!$B202,'CDCM Volume Forecasts'!$A$28:$AL$136,D$143,FALSE)</f>
        <v>2413.7732126878327</v>
      </c>
      <c r="E243" s="266">
        <f>VLOOKUP(Vlookup!$B202,'CDCM Volume Forecasts'!$A$28:$AL$136,E$143,FALSE)</f>
        <v>12.478949999999999</v>
      </c>
      <c r="F243" s="292"/>
      <c r="G243" s="292"/>
      <c r="H243" s="266">
        <f>VLOOKUP(Vlookup!$B202,'CDCM Volume Forecasts'!$A$28:$AL$136,H$143,FALSE)</f>
        <v>606.8858033017242</v>
      </c>
      <c r="I243" s="7"/>
      <c r="J243"/>
      <c r="K243"/>
      <c r="L243"/>
    </row>
    <row r="244" spans="1:12" ht="15">
      <c r="A244" s="285" t="s">
        <v>164</v>
      </c>
      <c r="B244" s="266">
        <f>VLOOKUP(Vlookup!$B203,'CDCM Volume Forecasts'!$A$28:$AL$136,B$143,FALSE)</f>
        <v>0</v>
      </c>
      <c r="C244" s="266">
        <f>VLOOKUP(Vlookup!$B203,'CDCM Volume Forecasts'!$A$28:$AL$136,C$143,FALSE)</f>
        <v>0</v>
      </c>
      <c r="D244" s="266">
        <f>VLOOKUP(Vlookup!$B203,'CDCM Volume Forecasts'!$A$28:$AL$136,D$143,FALSE)</f>
        <v>0</v>
      </c>
      <c r="E244" s="266">
        <f>VLOOKUP(Vlookup!$B203,'CDCM Volume Forecasts'!$A$28:$AL$136,E$143,FALSE)</f>
        <v>0</v>
      </c>
      <c r="F244" s="292"/>
      <c r="G244" s="292"/>
      <c r="H244" s="266">
        <f>VLOOKUP(Vlookup!$B203,'CDCM Volume Forecasts'!$A$28:$AL$136,H$143,FALSE)</f>
        <v>0</v>
      </c>
      <c r="I244" s="7"/>
      <c r="J244"/>
      <c r="K244"/>
      <c r="L244"/>
    </row>
    <row r="245" spans="1:12" ht="15">
      <c r="A245" s="288" t="s">
        <v>1562</v>
      </c>
      <c r="B245" s="290"/>
      <c r="C245" s="290"/>
      <c r="D245" s="290"/>
      <c r="E245" s="290"/>
      <c r="F245" s="290"/>
      <c r="G245" s="290"/>
      <c r="H245" s="290"/>
      <c r="I245" s="7"/>
      <c r="J245"/>
      <c r="K245"/>
      <c r="L245"/>
    </row>
    <row r="246" spans="1:12" ht="15">
      <c r="A246" s="285" t="s">
        <v>1519</v>
      </c>
      <c r="B246" s="266">
        <f>VLOOKUP(Vlookup!$B205,'CDCM Volume Forecasts'!$A$28:$AL$136,B$143,FALSE)</f>
        <v>0</v>
      </c>
      <c r="C246" s="266">
        <f>VLOOKUP(Vlookup!$B205,'CDCM Volume Forecasts'!$A$28:$AL$136,C$143,FALSE)</f>
        <v>0</v>
      </c>
      <c r="D246" s="266">
        <f>VLOOKUP(Vlookup!$B205,'CDCM Volume Forecasts'!$A$28:$AL$136,D$143,FALSE)</f>
        <v>0</v>
      </c>
      <c r="E246" s="266">
        <f>VLOOKUP(Vlookup!$B205,'CDCM Volume Forecasts'!$A$28:$AL$136,E$143,FALSE)</f>
        <v>0</v>
      </c>
      <c r="F246" s="292"/>
      <c r="G246" s="292"/>
      <c r="H246" s="292"/>
      <c r="I246" s="7"/>
      <c r="J246"/>
      <c r="K246"/>
      <c r="L246"/>
    </row>
    <row r="247" spans="1:12" ht="15">
      <c r="A247" s="288" t="s">
        <v>165</v>
      </c>
      <c r="B247" s="290"/>
      <c r="C247" s="290"/>
      <c r="D247" s="290"/>
      <c r="E247" s="290"/>
      <c r="F247" s="290"/>
      <c r="G247" s="290"/>
      <c r="H247" s="290"/>
      <c r="I247" s="7"/>
      <c r="J247"/>
      <c r="K247"/>
      <c r="L247"/>
    </row>
    <row r="248" spans="1:12" ht="15">
      <c r="A248" s="285" t="s">
        <v>74</v>
      </c>
      <c r="B248" s="266">
        <f>VLOOKUP(Vlookup!$B207,'CDCM Volume Forecasts'!$A$28:$AL$136,B$143,FALSE)</f>
        <v>408798.58803053456</v>
      </c>
      <c r="C248" s="292"/>
      <c r="D248" s="292"/>
      <c r="E248" s="266">
        <f>VLOOKUP(Vlookup!$B207,'CDCM Volume Forecasts'!$A$28:$AL$136,E$143,FALSE)</f>
        <v>237.99717534246571</v>
      </c>
      <c r="F248" s="292"/>
      <c r="G248" s="292"/>
      <c r="H248" s="266">
        <f>VLOOKUP(Vlookup!$B207,'CDCM Volume Forecasts'!$A$28:$AL$136,H$143,FALSE)</f>
        <v>3870.4537602500009</v>
      </c>
      <c r="I248" s="7"/>
      <c r="J248"/>
      <c r="K248"/>
      <c r="L248"/>
    </row>
    <row r="249" spans="1:12" ht="15">
      <c r="A249" s="285" t="s">
        <v>166</v>
      </c>
      <c r="B249" s="266">
        <f>VLOOKUP(Vlookup!$B208,'CDCM Volume Forecasts'!$A$28:$AL$136,B$143,FALSE)</f>
        <v>28.965318951724136</v>
      </c>
      <c r="C249" s="292"/>
      <c r="D249" s="292"/>
      <c r="E249" s="266">
        <f>VLOOKUP(Vlookup!$B208,'CDCM Volume Forecasts'!$A$28:$AL$136,E$143,FALSE)</f>
        <v>1.9710246575342465</v>
      </c>
      <c r="F249" s="292"/>
      <c r="G249" s="292"/>
      <c r="H249" s="266">
        <f>VLOOKUP(Vlookup!$B208,'CDCM Volume Forecasts'!$A$28:$AL$136,H$143,FALSE)</f>
        <v>0</v>
      </c>
      <c r="I249" s="7"/>
      <c r="J249"/>
      <c r="K249"/>
      <c r="L249"/>
    </row>
    <row r="250" spans="1:12" ht="15">
      <c r="A250" s="288" t="s">
        <v>1563</v>
      </c>
      <c r="B250" s="290"/>
      <c r="C250" s="290"/>
      <c r="D250" s="290"/>
      <c r="E250" s="290"/>
      <c r="F250" s="290"/>
      <c r="G250" s="290"/>
      <c r="H250" s="290"/>
      <c r="I250" s="7"/>
      <c r="J250"/>
      <c r="K250"/>
      <c r="L250"/>
    </row>
    <row r="251" spans="1:12" ht="15">
      <c r="A251" s="285" t="s">
        <v>1520</v>
      </c>
      <c r="B251" s="266">
        <f>VLOOKUP(Vlookup!$B210,'CDCM Volume Forecasts'!$A$28:$AL$136,B$143,FALSE)</f>
        <v>0</v>
      </c>
      <c r="C251" s="292"/>
      <c r="D251" s="292"/>
      <c r="E251" s="266">
        <f>VLOOKUP(Vlookup!$B210,'CDCM Volume Forecasts'!$A$28:$AL$136,E$143,FALSE)</f>
        <v>0</v>
      </c>
      <c r="F251" s="292"/>
      <c r="G251" s="292"/>
      <c r="H251" s="292"/>
      <c r="I251" s="7"/>
      <c r="J251"/>
      <c r="K251"/>
      <c r="L251"/>
    </row>
    <row r="252" spans="1:12" ht="15">
      <c r="A252" s="288" t="s">
        <v>167</v>
      </c>
      <c r="B252" s="290"/>
      <c r="C252" s="290"/>
      <c r="D252" s="290"/>
      <c r="E252" s="290"/>
      <c r="F252" s="290"/>
      <c r="G252" s="290"/>
      <c r="H252" s="290"/>
      <c r="I252" s="7"/>
      <c r="J252"/>
      <c r="K252"/>
      <c r="L252"/>
    </row>
    <row r="253" spans="1:12" ht="15">
      <c r="A253" s="285" t="s">
        <v>75</v>
      </c>
      <c r="B253" s="266">
        <f>VLOOKUP(Vlookup!$B212,'CDCM Volume Forecasts'!$A$28:$AL$136,B$143,FALSE)</f>
        <v>18175.24295154327</v>
      </c>
      <c r="C253" s="266">
        <f>VLOOKUP(Vlookup!$B212,'CDCM Volume Forecasts'!$A$28:$AL$136,C$143,FALSE)</f>
        <v>96563.406957456726</v>
      </c>
      <c r="D253" s="266">
        <f>VLOOKUP(Vlookup!$B212,'CDCM Volume Forecasts'!$A$28:$AL$136,D$143,FALSE)</f>
        <v>133398.79562824525</v>
      </c>
      <c r="E253" s="266">
        <f>VLOOKUP(Vlookup!$B212,'CDCM Volume Forecasts'!$A$28:$AL$136,E$143,FALSE)</f>
        <v>70.943264383561655</v>
      </c>
      <c r="F253" s="292"/>
      <c r="G253" s="292"/>
      <c r="H253" s="266">
        <f>VLOOKUP(Vlookup!$B212,'CDCM Volume Forecasts'!$A$28:$AL$136,H$143,FALSE)</f>
        <v>2452.5003561982758</v>
      </c>
      <c r="I253" s="7"/>
      <c r="J253"/>
      <c r="K253"/>
      <c r="L253"/>
    </row>
    <row r="254" spans="1:12" ht="15">
      <c r="A254" s="285" t="s">
        <v>168</v>
      </c>
      <c r="B254" s="266">
        <f>VLOOKUP(Vlookup!$B213,'CDCM Volume Forecasts'!$A$28:$AL$136,B$143,FALSE)</f>
        <v>6.9664922394678516E-2</v>
      </c>
      <c r="C254" s="266">
        <f>VLOOKUP(Vlookup!$B213,'CDCM Volume Forecasts'!$A$28:$AL$136,C$143,FALSE)</f>
        <v>0.88856101305223611</v>
      </c>
      <c r="D254" s="266">
        <f>VLOOKUP(Vlookup!$B213,'CDCM Volume Forecasts'!$A$28:$AL$136,D$143,FALSE)</f>
        <v>2.9569237396821908</v>
      </c>
      <c r="E254" s="266">
        <f>VLOOKUP(Vlookup!$B213,'CDCM Volume Forecasts'!$A$28:$AL$136,E$143,FALSE)</f>
        <v>1.3382136986301367</v>
      </c>
      <c r="F254" s="292"/>
      <c r="G254" s="292"/>
      <c r="H254" s="266">
        <f>VLOOKUP(Vlookup!$B213,'CDCM Volume Forecasts'!$A$28:$AL$136,H$143,FALSE)</f>
        <v>0.9497207172413793</v>
      </c>
      <c r="I254" s="7"/>
      <c r="J254"/>
      <c r="K254"/>
      <c r="L254"/>
    </row>
    <row r="255" spans="1:12" ht="15">
      <c r="A255" s="288" t="s">
        <v>1564</v>
      </c>
      <c r="B255" s="290"/>
      <c r="C255" s="290"/>
      <c r="D255" s="290"/>
      <c r="E255" s="290"/>
      <c r="F255" s="290"/>
      <c r="G255" s="290"/>
      <c r="H255" s="290"/>
      <c r="I255" s="7"/>
      <c r="J255"/>
      <c r="K255"/>
      <c r="L255"/>
    </row>
    <row r="256" spans="1:12" ht="15">
      <c r="A256" s="285" t="s">
        <v>1521</v>
      </c>
      <c r="B256" s="266">
        <f>VLOOKUP(Vlookup!$B215,'CDCM Volume Forecasts'!$A$28:$AL$136,B$143,FALSE)</f>
        <v>0</v>
      </c>
      <c r="C256" s="266">
        <f>VLOOKUP(Vlookup!$B215,'CDCM Volume Forecasts'!$A$28:$AL$136,C$143,FALSE)</f>
        <v>0</v>
      </c>
      <c r="D256" s="266">
        <f>VLOOKUP(Vlookup!$B215,'CDCM Volume Forecasts'!$A$28:$AL$136,D$143,FALSE)</f>
        <v>0</v>
      </c>
      <c r="E256" s="266">
        <f>VLOOKUP(Vlookup!$B215,'CDCM Volume Forecasts'!$A$28:$AL$136,E$143,FALSE)</f>
        <v>0</v>
      </c>
      <c r="F256" s="292"/>
      <c r="G256" s="292"/>
      <c r="H256" s="292"/>
      <c r="I256" s="7"/>
      <c r="J256"/>
      <c r="K256"/>
      <c r="L256"/>
    </row>
    <row r="257" spans="1:11" ht="15">
      <c r="A257"/>
      <c r="B257"/>
      <c r="C257"/>
      <c r="D257"/>
      <c r="E257"/>
      <c r="F257"/>
      <c r="G257"/>
      <c r="H257"/>
      <c r="I257"/>
      <c r="J257"/>
      <c r="K257"/>
    </row>
    <row r="258" spans="1:11" ht="19.5">
      <c r="A258" s="1" t="s">
        <v>169</v>
      </c>
      <c r="B258"/>
      <c r="C258"/>
      <c r="D258"/>
      <c r="E258"/>
      <c r="F258"/>
      <c r="G258"/>
      <c r="H258"/>
      <c r="I258"/>
      <c r="J258"/>
      <c r="K258"/>
    </row>
    <row r="259" spans="1:11" ht="15">
      <c r="A259" s="2" t="s">
        <v>224</v>
      </c>
      <c r="B259"/>
      <c r="C259"/>
      <c r="D259"/>
      <c r="E259"/>
      <c r="F259"/>
      <c r="G259"/>
      <c r="H259"/>
      <c r="I259"/>
      <c r="J259"/>
      <c r="K259"/>
    </row>
    <row r="260" spans="1:11" ht="15">
      <c r="A260" t="s">
        <v>99</v>
      </c>
      <c r="B260"/>
      <c r="C260"/>
      <c r="D260"/>
      <c r="E260"/>
      <c r="F260"/>
      <c r="G260"/>
      <c r="H260"/>
      <c r="I260"/>
      <c r="J260"/>
      <c r="K260"/>
    </row>
    <row r="261" spans="1:11" ht="30">
      <c r="A261"/>
      <c r="B261" s="3" t="s">
        <v>170</v>
      </c>
      <c r="C261"/>
      <c r="D261"/>
      <c r="E261"/>
      <c r="F261"/>
      <c r="G261"/>
      <c r="H261"/>
      <c r="I261"/>
      <c r="J261"/>
      <c r="K261"/>
    </row>
    <row r="262" spans="1:11" ht="15">
      <c r="A262" s="8" t="s">
        <v>171</v>
      </c>
      <c r="B262" s="10">
        <f>VLOOKUP(Vlookup!B221,'CDCM Forecast Data'!$A$14:$I$271,7,FALSE)</f>
        <v>9561016.3813804574</v>
      </c>
      <c r="C262" s="7" t="s">
        <v>224</v>
      </c>
      <c r="D262"/>
      <c r="E262"/>
      <c r="F262"/>
      <c r="G262"/>
      <c r="H262"/>
      <c r="I262"/>
      <c r="J262"/>
      <c r="K262"/>
    </row>
    <row r="263" spans="1:11" ht="15">
      <c r="A263"/>
      <c r="B263"/>
      <c r="C263"/>
      <c r="D263"/>
      <c r="E263"/>
      <c r="F263"/>
      <c r="G263"/>
      <c r="H263"/>
      <c r="I263"/>
      <c r="J263"/>
      <c r="K263"/>
    </row>
    <row r="264" spans="1:11" ht="19.5">
      <c r="A264" s="1" t="s">
        <v>172</v>
      </c>
      <c r="B264"/>
      <c r="C264"/>
      <c r="D264"/>
      <c r="E264"/>
      <c r="F264"/>
      <c r="G264"/>
      <c r="H264"/>
      <c r="I264"/>
      <c r="J264"/>
      <c r="K264"/>
    </row>
    <row r="265" spans="1:11" ht="15">
      <c r="A265" t="s">
        <v>224</v>
      </c>
      <c r="B265"/>
      <c r="C265"/>
      <c r="D265"/>
      <c r="E265"/>
      <c r="F265"/>
      <c r="G265"/>
      <c r="H265"/>
      <c r="I265"/>
      <c r="J265"/>
      <c r="K265"/>
    </row>
    <row r="266" spans="1:11" ht="30">
      <c r="A266"/>
      <c r="B266" s="3" t="s">
        <v>173</v>
      </c>
      <c r="C266" s="3" t="s">
        <v>174</v>
      </c>
      <c r="D266" s="3" t="s">
        <v>175</v>
      </c>
      <c r="E266" s="3" t="s">
        <v>176</v>
      </c>
      <c r="F266"/>
      <c r="G266"/>
      <c r="H266"/>
      <c r="I266"/>
      <c r="J266"/>
      <c r="K266"/>
    </row>
    <row r="267" spans="1:11" ht="15">
      <c r="A267" s="8" t="s">
        <v>177</v>
      </c>
      <c r="B267" s="10">
        <f>VLOOKUP(Vlookup!B226,'CDCM Forecast Data'!$A$14:$I$271,7,FALSE)</f>
        <v>35846648.468217216</v>
      </c>
      <c r="C267" s="10">
        <f>VLOOKUP(Vlookup!C226,'CDCM Forecast Data'!$A$14:$I$271,7,FALSE)</f>
        <v>107201184.88638681</v>
      </c>
      <c r="D267" s="11">
        <f>VLOOKUP(Vlookup!D226,'CDCM Forecast Data'!$A$14:$I$271,7,FALSE)</f>
        <v>0.6</v>
      </c>
      <c r="E267" s="10">
        <f>VLOOKUP(Vlookup!E226,'CDCM Forecast Data'!$A$14:$I$271,7,FALSE)</f>
        <v>20752640</v>
      </c>
      <c r="F267" s="7" t="s">
        <v>224</v>
      </c>
      <c r="G267"/>
      <c r="H267"/>
      <c r="I267"/>
      <c r="J267"/>
      <c r="K267"/>
    </row>
    <row r="268" spans="1:11" ht="15">
      <c r="A268"/>
      <c r="B268"/>
      <c r="C268"/>
      <c r="D268"/>
      <c r="E268"/>
      <c r="F268"/>
      <c r="G268"/>
      <c r="H268"/>
      <c r="I268"/>
      <c r="J268"/>
      <c r="K268"/>
    </row>
    <row r="269" spans="1:11" ht="19.5">
      <c r="A269" s="1" t="s">
        <v>178</v>
      </c>
      <c r="B269"/>
      <c r="C269"/>
      <c r="D269"/>
      <c r="E269"/>
      <c r="F269"/>
      <c r="G269"/>
      <c r="H269"/>
      <c r="I269"/>
      <c r="J269"/>
      <c r="K269"/>
    </row>
    <row r="270" spans="1:11" ht="15">
      <c r="A270" s="2"/>
      <c r="B270"/>
      <c r="C270"/>
      <c r="D270"/>
      <c r="E270"/>
      <c r="F270"/>
      <c r="G270"/>
      <c r="H270"/>
      <c r="I270"/>
      <c r="J270"/>
      <c r="K270"/>
    </row>
    <row r="271" spans="1:11" ht="15">
      <c r="A271" s="2" t="s">
        <v>179</v>
      </c>
      <c r="B271"/>
      <c r="C271"/>
      <c r="D271"/>
      <c r="E271"/>
      <c r="F271"/>
      <c r="G271"/>
      <c r="H271"/>
      <c r="I271"/>
      <c r="J271"/>
      <c r="K271"/>
    </row>
    <row r="272" spans="1:11" ht="15">
      <c r="A272" s="2" t="s">
        <v>180</v>
      </c>
      <c r="B272"/>
      <c r="C272"/>
      <c r="D272"/>
      <c r="E272"/>
      <c r="F272"/>
      <c r="G272"/>
      <c r="H272"/>
      <c r="I272"/>
      <c r="J272"/>
      <c r="K272"/>
    </row>
    <row r="273" spans="1:11" ht="15">
      <c r="A273" t="s">
        <v>181</v>
      </c>
      <c r="B273"/>
      <c r="C273"/>
      <c r="D273"/>
      <c r="E273"/>
      <c r="F273"/>
      <c r="G273"/>
      <c r="H273"/>
      <c r="I273"/>
      <c r="J273"/>
      <c r="K273"/>
    </row>
    <row r="274" spans="1:11" ht="30">
      <c r="A274"/>
      <c r="B274" s="3" t="s">
        <v>182</v>
      </c>
      <c r="C274" s="3" t="s">
        <v>183</v>
      </c>
      <c r="D274" s="3" t="s">
        <v>184</v>
      </c>
      <c r="E274" s="3" t="s">
        <v>185</v>
      </c>
      <c r="F274" s="3" t="s">
        <v>186</v>
      </c>
      <c r="G274" s="3" t="s">
        <v>187</v>
      </c>
      <c r="H274" s="3" t="s">
        <v>188</v>
      </c>
      <c r="I274" s="3" t="s">
        <v>189</v>
      </c>
      <c r="J274"/>
      <c r="K274"/>
    </row>
    <row r="275" spans="1:11" ht="15">
      <c r="A275" s="8" t="s">
        <v>190</v>
      </c>
      <c r="B275" s="11">
        <f>VLOOKUP(Vlookup!B234,'CDCM Forecast Data'!$A$14:$I$271,7,FALSE)</f>
        <v>0</v>
      </c>
      <c r="C275" s="11">
        <f>VLOOKUP(Vlookup!C234,'CDCM Forecast Data'!$A$14:$I$271,7,FALSE)</f>
        <v>0</v>
      </c>
      <c r="D275" s="11">
        <f>VLOOKUP(Vlookup!D234,'CDCM Forecast Data'!$A$14:$I$271,7,FALSE)</f>
        <v>0</v>
      </c>
      <c r="E275" s="11">
        <f>VLOOKUP(Vlookup!E234,'CDCM Forecast Data'!$A$14:$I$271,7,FALSE)</f>
        <v>0.81</v>
      </c>
      <c r="F275" s="11">
        <f>VLOOKUP(Vlookup!F234,'CDCM Forecast Data'!$A$14:$I$271,7,FALSE)</f>
        <v>0</v>
      </c>
      <c r="G275" s="11">
        <f>VLOOKUP(Vlookup!G234,'CDCM Forecast Data'!$A$14:$I$271,7,FALSE)</f>
        <v>0.81</v>
      </c>
      <c r="H275" s="11">
        <f>VLOOKUP(Vlookup!H234,'CDCM Forecast Data'!$A$14:$I$271,7,FALSE)</f>
        <v>0.95</v>
      </c>
      <c r="I275" s="11">
        <f>VLOOKUP(Vlookup!I234,'CDCM Forecast Data'!$A$14:$I$271,7,FALSE)</f>
        <v>0.95</v>
      </c>
      <c r="J275" s="7" t="s">
        <v>224</v>
      </c>
      <c r="K275"/>
    </row>
    <row r="276" spans="1:11" ht="15">
      <c r="A276" s="8" t="s">
        <v>191</v>
      </c>
      <c r="B276" s="11">
        <f>VLOOKUP(Vlookup!B235,'CDCM Forecast Data'!$A$14:$I$271,7,FALSE)</f>
        <v>0</v>
      </c>
      <c r="C276" s="11">
        <f>VLOOKUP(Vlookup!C235,'CDCM Forecast Data'!$A$14:$I$271,7,FALSE)</f>
        <v>0</v>
      </c>
      <c r="D276" s="11">
        <f>VLOOKUP(Vlookup!D235,'CDCM Forecast Data'!$A$14:$I$271,7,FALSE)</f>
        <v>0</v>
      </c>
      <c r="E276" s="11">
        <f>VLOOKUP(Vlookup!E235,'CDCM Forecast Data'!$A$14:$I$271,7,FALSE)</f>
        <v>0.81</v>
      </c>
      <c r="F276" s="11">
        <f>VLOOKUP(Vlookup!F235,'CDCM Forecast Data'!$A$14:$I$271,7,FALSE)</f>
        <v>0</v>
      </c>
      <c r="G276" s="11">
        <f>VLOOKUP(Vlookup!G235,'CDCM Forecast Data'!$A$14:$I$271,7,FALSE)</f>
        <v>0.81</v>
      </c>
      <c r="H276" s="11">
        <f>VLOOKUP(Vlookup!H235,'CDCM Forecast Data'!$A$14:$I$271,7,FALSE)</f>
        <v>0.95</v>
      </c>
      <c r="I276" s="6"/>
      <c r="J276" s="7" t="s">
        <v>224</v>
      </c>
      <c r="K276"/>
    </row>
    <row r="277" spans="1:11" ht="15">
      <c r="A277" s="8" t="s">
        <v>192</v>
      </c>
      <c r="B277" s="11">
        <f>VLOOKUP(Vlookup!B236,'CDCM Forecast Data'!$A$14:$I$271,7,FALSE)</f>
        <v>0</v>
      </c>
      <c r="C277" s="11">
        <f>VLOOKUP(Vlookup!C236,'CDCM Forecast Data'!$A$14:$I$271,7,FALSE)</f>
        <v>0.67</v>
      </c>
      <c r="D277" s="11">
        <f>VLOOKUP(Vlookup!D236,'CDCM Forecast Data'!$A$14:$I$271,7,FALSE)</f>
        <v>0.67</v>
      </c>
      <c r="E277" s="11">
        <f>VLOOKUP(Vlookup!E236,'CDCM Forecast Data'!$A$14:$I$271,7,FALSE)</f>
        <v>1</v>
      </c>
      <c r="F277" s="11">
        <f>VLOOKUP(Vlookup!F236,'CDCM Forecast Data'!$A$14:$I$271,7,FALSE)</f>
        <v>0</v>
      </c>
      <c r="G277" s="11">
        <f>VLOOKUP(Vlookup!G236,'CDCM Forecast Data'!$A$14:$I$271,7,FALSE)</f>
        <v>1</v>
      </c>
      <c r="H277" s="6"/>
      <c r="I277" s="6"/>
      <c r="J277" s="7" t="s">
        <v>224</v>
      </c>
      <c r="K277"/>
    </row>
    <row r="278" spans="1:11" ht="15">
      <c r="A278" s="8" t="s">
        <v>193</v>
      </c>
      <c r="B278" s="11">
        <f>VLOOKUP(Vlookup!B237,'CDCM Forecast Data'!$A$14:$I$271,7,FALSE)</f>
        <v>0</v>
      </c>
      <c r="C278" s="11">
        <f>VLOOKUP(Vlookup!C237,'CDCM Forecast Data'!$A$14:$I$271,7,FALSE)</f>
        <v>0.67</v>
      </c>
      <c r="D278" s="11">
        <f>VLOOKUP(Vlookup!D237,'CDCM Forecast Data'!$A$14:$I$271,7,FALSE)</f>
        <v>0.67</v>
      </c>
      <c r="E278" s="11">
        <f>VLOOKUP(Vlookup!E237,'CDCM Forecast Data'!$A$14:$I$271,7,FALSE)</f>
        <v>1</v>
      </c>
      <c r="F278" s="6"/>
      <c r="G278" s="6"/>
      <c r="H278" s="6"/>
      <c r="I278" s="6"/>
      <c r="J278" s="7" t="s">
        <v>224</v>
      </c>
      <c r="K278"/>
    </row>
    <row r="279" spans="1:11" ht="15">
      <c r="A279"/>
      <c r="B279"/>
      <c r="C279"/>
      <c r="D279"/>
      <c r="E279"/>
      <c r="F279"/>
      <c r="G279"/>
      <c r="H279"/>
      <c r="I279"/>
      <c r="J279"/>
      <c r="K279"/>
    </row>
    <row r="280" spans="1:11" ht="19.5">
      <c r="A280" s="1" t="s">
        <v>194</v>
      </c>
      <c r="B280"/>
      <c r="C280"/>
      <c r="D280"/>
      <c r="E280"/>
      <c r="F280"/>
      <c r="G280"/>
      <c r="H280"/>
      <c r="I280"/>
      <c r="J280"/>
      <c r="K280"/>
    </row>
    <row r="281" spans="1:11" ht="15">
      <c r="A281"/>
      <c r="B281"/>
      <c r="C281"/>
      <c r="D281"/>
      <c r="E281"/>
      <c r="F281"/>
      <c r="G281"/>
      <c r="H281"/>
      <c r="I281"/>
      <c r="J281"/>
      <c r="K281"/>
    </row>
    <row r="282" spans="1:11" ht="15">
      <c r="A282"/>
      <c r="B282" s="3" t="s">
        <v>195</v>
      </c>
      <c r="C282" s="3" t="s">
        <v>196</v>
      </c>
      <c r="D282" s="3" t="s">
        <v>197</v>
      </c>
      <c r="E282"/>
      <c r="F282"/>
      <c r="G282"/>
      <c r="H282"/>
      <c r="I282"/>
      <c r="J282"/>
      <c r="K282"/>
    </row>
    <row r="283" spans="1:11" ht="15">
      <c r="A283" s="8" t="s">
        <v>54</v>
      </c>
      <c r="B283" s="11">
        <f>VLOOKUP(Vlookup!B247,'CDCM Forecast Data'!$A$14:$I$271,7,FALSE)</f>
        <v>8.8740200313094042E-2</v>
      </c>
      <c r="C283" s="11">
        <f>VLOOKUP(Vlookup!C247,'CDCM Forecast Data'!$A$14:$I$271,7,FALSE)</f>
        <v>0.46239559627820986</v>
      </c>
      <c r="D283" s="11">
        <f>VLOOKUP(Vlookup!D247,'CDCM Forecast Data'!$A$14:$I$271,7,FALSE)</f>
        <v>0.44886420340869609</v>
      </c>
      <c r="E283" s="7" t="s">
        <v>224</v>
      </c>
      <c r="F283"/>
      <c r="G283"/>
      <c r="H283"/>
      <c r="I283"/>
      <c r="J283"/>
      <c r="K283"/>
    </row>
    <row r="284" spans="1:11" ht="15">
      <c r="A284" s="8" t="s">
        <v>55</v>
      </c>
      <c r="B284" s="11">
        <f>VLOOKUP(Vlookup!B248,'CDCM Forecast Data'!$A$14:$I$271,7,FALSE)</f>
        <v>0.10751585240751205</v>
      </c>
      <c r="C284" s="11">
        <f>VLOOKUP(Vlookup!C248,'CDCM Forecast Data'!$A$14:$I$271,7,FALSE)</f>
        <v>0.53928993725192576</v>
      </c>
      <c r="D284" s="11">
        <f>VLOOKUP(Vlookup!D248,'CDCM Forecast Data'!$A$14:$I$271,7,FALSE)</f>
        <v>0.35319421034056231</v>
      </c>
      <c r="E284" s="7" t="s">
        <v>224</v>
      </c>
      <c r="F284"/>
      <c r="G284"/>
      <c r="H284"/>
      <c r="I284"/>
      <c r="J284"/>
      <c r="K284"/>
    </row>
    <row r="285" spans="1:11" ht="15">
      <c r="A285" s="8" t="s">
        <v>91</v>
      </c>
      <c r="B285" s="11">
        <f>VLOOKUP(Vlookup!B249,'CDCM Forecast Data'!$A$14:$I$271,7,FALSE)</f>
        <v>1.3467452839655742E-3</v>
      </c>
      <c r="C285" s="11">
        <f>VLOOKUP(Vlookup!C249,'CDCM Forecast Data'!$A$14:$I$271,7,FALSE)</f>
        <v>0.10870547020102579</v>
      </c>
      <c r="D285" s="11">
        <f>VLOOKUP(Vlookup!D249,'CDCM Forecast Data'!$A$14:$I$271,7,FALSE)</f>
        <v>0.88994778451500867</v>
      </c>
      <c r="E285" s="7"/>
      <c r="F285"/>
      <c r="G285"/>
      <c r="H285"/>
      <c r="I285"/>
      <c r="J285"/>
      <c r="K285"/>
    </row>
    <row r="286" spans="1:11" ht="15">
      <c r="A286" s="8" t="s">
        <v>56</v>
      </c>
      <c r="B286" s="11">
        <f>VLOOKUP(Vlookup!B250,'CDCM Forecast Data'!$A$14:$I$271,7,FALSE)</f>
        <v>6.26200465507879E-2</v>
      </c>
      <c r="C286" s="11">
        <f>VLOOKUP(Vlookup!C250,'CDCM Forecast Data'!$A$14:$I$271,7,FALSE)</f>
        <v>0.56596294840089356</v>
      </c>
      <c r="D286" s="11">
        <f>VLOOKUP(Vlookup!D250,'CDCM Forecast Data'!$A$14:$I$271,7,FALSE)</f>
        <v>0.37141700504831854</v>
      </c>
      <c r="E286" s="7"/>
      <c r="F286"/>
      <c r="G286"/>
      <c r="H286"/>
      <c r="I286"/>
      <c r="J286"/>
      <c r="K286"/>
    </row>
    <row r="287" spans="1:11" ht="15">
      <c r="A287" s="8" t="s">
        <v>57</v>
      </c>
      <c r="B287" s="11">
        <f>VLOOKUP(Vlookup!B251,'CDCM Forecast Data'!$A$14:$I$271,7,FALSE)</f>
        <v>8.1156541207900612E-2</v>
      </c>
      <c r="C287" s="11">
        <f>VLOOKUP(Vlookup!C251,'CDCM Forecast Data'!$A$14:$I$271,7,FALSE)</f>
        <v>0.63066077743340532</v>
      </c>
      <c r="D287" s="11">
        <f>VLOOKUP(Vlookup!D251,'CDCM Forecast Data'!$A$14:$I$271,7,FALSE)</f>
        <v>0.28818268135869413</v>
      </c>
      <c r="E287" s="7" t="s">
        <v>224</v>
      </c>
      <c r="F287"/>
      <c r="G287"/>
      <c r="H287"/>
      <c r="I287"/>
      <c r="J287"/>
      <c r="K287"/>
    </row>
    <row r="288" spans="1:11" ht="15">
      <c r="A288" s="8" t="s">
        <v>92</v>
      </c>
      <c r="B288" s="11">
        <f>VLOOKUP(Vlookup!B252,'CDCM Forecast Data'!$A$14:$I$271,7,FALSE)</f>
        <v>2.1108855935806684E-3</v>
      </c>
      <c r="C288" s="11">
        <f>VLOOKUP(Vlookup!C252,'CDCM Forecast Data'!$A$14:$I$271,7,FALSE)</f>
        <v>0.11802654892647897</v>
      </c>
      <c r="D288" s="11">
        <f>VLOOKUP(Vlookup!D252,'CDCM Forecast Data'!$A$14:$I$271,7,FALSE)</f>
        <v>0.87986256547994035</v>
      </c>
      <c r="E288" s="7" t="s">
        <v>224</v>
      </c>
      <c r="F288"/>
      <c r="G288"/>
      <c r="H288"/>
      <c r="I288"/>
      <c r="J288"/>
      <c r="K288"/>
    </row>
    <row r="289" spans="1:11" ht="15">
      <c r="A289" s="8" t="s">
        <v>58</v>
      </c>
      <c r="B289" s="11">
        <f>VLOOKUP(Vlookup!B253,'CDCM Forecast Data'!$A$14:$I$271,7,FALSE)</f>
        <v>8.2970247934956221E-2</v>
      </c>
      <c r="C289" s="11">
        <f>VLOOKUP(Vlookup!C253,'CDCM Forecast Data'!$A$14:$I$271,7,FALSE)</f>
        <v>0.62036110080486229</v>
      </c>
      <c r="D289" s="11">
        <f>VLOOKUP(Vlookup!D253,'CDCM Forecast Data'!$A$14:$I$271,7,FALSE)</f>
        <v>0.29666865126018144</v>
      </c>
      <c r="E289" s="7" t="s">
        <v>224</v>
      </c>
      <c r="F289"/>
      <c r="G289"/>
      <c r="H289"/>
      <c r="I289"/>
      <c r="J289"/>
      <c r="K289"/>
    </row>
    <row r="290" spans="1:11" ht="15">
      <c r="A290" s="8" t="s">
        <v>59</v>
      </c>
      <c r="B290" s="11">
        <f>VLOOKUP(Vlookup!B254,'CDCM Forecast Data'!$A$14:$I$271,7,FALSE)</f>
        <v>8.1888603416870973E-2</v>
      </c>
      <c r="C290" s="11">
        <f>VLOOKUP(Vlookup!C254,'CDCM Forecast Data'!$A$14:$I$271,7,FALSE)</f>
        <v>0.61855839995261419</v>
      </c>
      <c r="D290" s="11">
        <f>VLOOKUP(Vlookup!D254,'CDCM Forecast Data'!$A$14:$I$271,7,FALSE)</f>
        <v>0.29955299663051482</v>
      </c>
      <c r="E290" s="7" t="s">
        <v>224</v>
      </c>
      <c r="F290"/>
      <c r="G290"/>
      <c r="H290"/>
      <c r="I290"/>
      <c r="J290"/>
      <c r="K290"/>
    </row>
    <row r="291" spans="1:11" ht="15">
      <c r="A291" s="8" t="s">
        <v>72</v>
      </c>
      <c r="B291" s="11">
        <f>VLOOKUP(Vlookup!B255,'CDCM Forecast Data'!$A$14:$I$271,7,FALSE)</f>
        <v>8.215022324053349E-2</v>
      </c>
      <c r="C291" s="11">
        <f>VLOOKUP(Vlookup!C255,'CDCM Forecast Data'!$A$14:$I$271,7,FALSE)</f>
        <v>0.63955866566854391</v>
      </c>
      <c r="D291" s="11">
        <f>VLOOKUP(Vlookup!D255,'CDCM Forecast Data'!$A$14:$I$271,7,FALSE)</f>
        <v>0.27829111109092258</v>
      </c>
      <c r="E291" s="7" t="s">
        <v>224</v>
      </c>
      <c r="F291"/>
      <c r="G291"/>
      <c r="H291"/>
      <c r="I291"/>
      <c r="J291"/>
      <c r="K291"/>
    </row>
    <row r="292" spans="1:11" ht="15">
      <c r="A292"/>
      <c r="B292"/>
      <c r="C292"/>
      <c r="D292"/>
      <c r="E292"/>
      <c r="F292"/>
      <c r="G292"/>
      <c r="H292"/>
      <c r="I292"/>
      <c r="J292"/>
      <c r="K292"/>
    </row>
    <row r="293" spans="1:11" ht="19.5">
      <c r="A293" s="1" t="s">
        <v>198</v>
      </c>
      <c r="B293"/>
      <c r="C293"/>
      <c r="D293"/>
      <c r="E293"/>
      <c r="F293"/>
      <c r="G293"/>
      <c r="H293"/>
      <c r="I293"/>
      <c r="J293"/>
      <c r="K293"/>
    </row>
    <row r="294" spans="1:11" ht="15">
      <c r="A294"/>
      <c r="B294"/>
      <c r="C294"/>
      <c r="D294"/>
      <c r="E294"/>
      <c r="F294"/>
      <c r="G294"/>
      <c r="H294"/>
      <c r="I294"/>
      <c r="J294"/>
      <c r="K294"/>
    </row>
    <row r="295" spans="1:11" ht="15">
      <c r="A295"/>
      <c r="B295" s="3" t="s">
        <v>195</v>
      </c>
      <c r="C295" s="3" t="s">
        <v>196</v>
      </c>
      <c r="D295" s="3" t="s">
        <v>197</v>
      </c>
      <c r="E295"/>
      <c r="F295"/>
      <c r="G295"/>
      <c r="H295"/>
      <c r="I295"/>
      <c r="J295"/>
      <c r="K295"/>
    </row>
    <row r="296" spans="1:11" ht="15">
      <c r="A296" s="8" t="s">
        <v>55</v>
      </c>
      <c r="B296" s="11">
        <f>VLOOKUP(Vlookup!B263,'CDCM Forecast Data'!$A$14:$I$271,7,FALSE)</f>
        <v>0</v>
      </c>
      <c r="C296" s="11">
        <f>VLOOKUP(Vlookup!C263,'CDCM Forecast Data'!$A$14:$I$271,7,FALSE)</f>
        <v>2.0980929821621391E-2</v>
      </c>
      <c r="D296" s="11">
        <f>VLOOKUP(Vlookup!D263,'CDCM Forecast Data'!$A$14:$I$271,7,FALSE)</f>
        <v>0.97901907017837864</v>
      </c>
      <c r="E296" s="7" t="s">
        <v>224</v>
      </c>
      <c r="F296"/>
      <c r="G296"/>
      <c r="H296"/>
      <c r="I296"/>
      <c r="J296"/>
      <c r="K296"/>
    </row>
    <row r="297" spans="1:11" ht="15">
      <c r="A297" s="8" t="s">
        <v>57</v>
      </c>
      <c r="B297" s="11">
        <f>VLOOKUP(Vlookup!B264,'CDCM Forecast Data'!$A$14:$I$271,7,FALSE)</f>
        <v>0</v>
      </c>
      <c r="C297" s="11">
        <f>VLOOKUP(Vlookup!C264,'CDCM Forecast Data'!$A$14:$I$271,7,FALSE)</f>
        <v>2.6444594802158033E-2</v>
      </c>
      <c r="D297" s="11">
        <f>VLOOKUP(Vlookup!D264,'CDCM Forecast Data'!$A$14:$I$271,7,FALSE)</f>
        <v>0.97355540519784201</v>
      </c>
      <c r="E297" s="7" t="s">
        <v>224</v>
      </c>
      <c r="F297"/>
      <c r="G297"/>
      <c r="H297"/>
      <c r="I297"/>
      <c r="J297"/>
      <c r="K297"/>
    </row>
    <row r="298" spans="1:11" ht="15">
      <c r="A298" s="8" t="s">
        <v>58</v>
      </c>
      <c r="B298" s="11">
        <f>VLOOKUP(Vlookup!B265,'CDCM Forecast Data'!$A$14:$I$271,7,FALSE)</f>
        <v>0</v>
      </c>
      <c r="C298" s="11">
        <f>VLOOKUP(Vlookup!C265,'CDCM Forecast Data'!$A$14:$I$271,7,FALSE)</f>
        <v>0</v>
      </c>
      <c r="D298" s="11">
        <f>VLOOKUP(Vlookup!D265,'CDCM Forecast Data'!$A$14:$I$271,7,FALSE)</f>
        <v>1</v>
      </c>
      <c r="E298" s="7" t="s">
        <v>224</v>
      </c>
      <c r="F298"/>
      <c r="G298"/>
      <c r="H298"/>
      <c r="I298"/>
      <c r="J298"/>
      <c r="K298"/>
    </row>
    <row r="299" spans="1:11" ht="15">
      <c r="A299" s="8" t="s">
        <v>59</v>
      </c>
      <c r="B299" s="11">
        <f>VLOOKUP(Vlookup!B266,'CDCM Forecast Data'!$A$14:$I$271,7,FALSE)</f>
        <v>0</v>
      </c>
      <c r="C299" s="11">
        <f>VLOOKUP(Vlookup!C266,'CDCM Forecast Data'!$A$14:$I$271,7,FALSE)</f>
        <v>0</v>
      </c>
      <c r="D299" s="11">
        <f>VLOOKUP(Vlookup!D266,'CDCM Forecast Data'!$A$14:$I$271,7,FALSE)</f>
        <v>1</v>
      </c>
      <c r="E299" s="7" t="s">
        <v>224</v>
      </c>
      <c r="F299"/>
      <c r="G299"/>
      <c r="H299"/>
      <c r="I299"/>
      <c r="J299"/>
      <c r="K299"/>
    </row>
    <row r="300" spans="1:11" ht="15">
      <c r="A300" s="8" t="s">
        <v>72</v>
      </c>
      <c r="B300" s="11">
        <f>VLOOKUP(Vlookup!B267,'CDCM Forecast Data'!$A$14:$I$271,7,FALSE)</f>
        <v>0</v>
      </c>
      <c r="C300" s="11">
        <f>VLOOKUP(Vlookup!C267,'CDCM Forecast Data'!$A$14:$I$271,7,FALSE)</f>
        <v>0</v>
      </c>
      <c r="D300" s="11">
        <f>VLOOKUP(Vlookup!D267,'CDCM Forecast Data'!$A$14:$I$271,7,FALSE)</f>
        <v>1</v>
      </c>
      <c r="E300" s="7" t="s">
        <v>224</v>
      </c>
      <c r="F300"/>
      <c r="G300"/>
      <c r="H300"/>
      <c r="I300"/>
      <c r="J300"/>
      <c r="K300"/>
    </row>
    <row r="301" spans="1:11" ht="15">
      <c r="A301"/>
      <c r="B301"/>
      <c r="C301"/>
      <c r="D301"/>
      <c r="E301"/>
      <c r="F301"/>
      <c r="G301"/>
      <c r="H301"/>
      <c r="I301"/>
      <c r="J301"/>
      <c r="K301"/>
    </row>
    <row r="302" spans="1:11" ht="19.5">
      <c r="A302" s="1" t="s">
        <v>199</v>
      </c>
      <c r="B302"/>
      <c r="C302"/>
      <c r="D302"/>
      <c r="E302"/>
      <c r="F302"/>
      <c r="G302"/>
      <c r="H302"/>
      <c r="I302"/>
      <c r="J302"/>
      <c r="K302"/>
    </row>
    <row r="303" spans="1:11" ht="15">
      <c r="A303"/>
      <c r="B303"/>
      <c r="C303"/>
      <c r="D303"/>
      <c r="E303"/>
      <c r="F303"/>
      <c r="G303"/>
      <c r="H303"/>
      <c r="I303"/>
      <c r="J303"/>
      <c r="K303"/>
    </row>
    <row r="304" spans="1:11" ht="15">
      <c r="A304"/>
      <c r="B304" s="3" t="s">
        <v>200</v>
      </c>
      <c r="C304" s="3" t="s">
        <v>201</v>
      </c>
      <c r="D304" s="3" t="s">
        <v>197</v>
      </c>
      <c r="E304" t="s">
        <v>224</v>
      </c>
      <c r="F304"/>
      <c r="G304"/>
      <c r="H304"/>
      <c r="I304"/>
      <c r="J304"/>
      <c r="K304"/>
    </row>
    <row r="305" spans="1:11" ht="15">
      <c r="A305" s="8" t="s">
        <v>93</v>
      </c>
      <c r="B305" s="11">
        <f>VLOOKUP(Vlookup!B272,'CDCM Forecast Data'!$A$14:$I$271,7,FALSE)</f>
        <v>1.7335795260789644E-2</v>
      </c>
      <c r="C305" s="11">
        <f>VLOOKUP(Vlookup!C272,'CDCM Forecast Data'!$A$14:$I$271,7,FALSE)</f>
        <v>0.4355228684781795</v>
      </c>
      <c r="D305" s="11">
        <f>VLOOKUP(Vlookup!D272,'CDCM Forecast Data'!$A$14:$I$271,7,FALSE)</f>
        <v>0.54714133626103079</v>
      </c>
      <c r="E305" s="7" t="s">
        <v>224</v>
      </c>
      <c r="F305"/>
      <c r="G305"/>
      <c r="H305"/>
      <c r="I305"/>
      <c r="J305"/>
      <c r="K305"/>
    </row>
    <row r="306" spans="1:11" ht="15">
      <c r="A306" s="8" t="s">
        <v>94</v>
      </c>
      <c r="B306" s="11">
        <f>VLOOKUP(Vlookup!B273,'CDCM Forecast Data'!$A$14:$I$271,7,FALSE)</f>
        <v>3.2847302717098244E-2</v>
      </c>
      <c r="C306" s="11">
        <f>VLOOKUP(Vlookup!C273,'CDCM Forecast Data'!$A$14:$I$271,7,FALSE)</f>
        <v>0.1517630105786926</v>
      </c>
      <c r="D306" s="11">
        <f>VLOOKUP(Vlookup!D273,'CDCM Forecast Data'!$A$14:$I$271,7,FALSE)</f>
        <v>0.81538968670420919</v>
      </c>
      <c r="E306" s="7" t="s">
        <v>224</v>
      </c>
      <c r="F306"/>
      <c r="G306"/>
      <c r="H306"/>
      <c r="I306"/>
      <c r="J306"/>
      <c r="K306"/>
    </row>
    <row r="307" spans="1:11" ht="15">
      <c r="A307" s="8" t="s">
        <v>95</v>
      </c>
      <c r="B307" s="11">
        <f>VLOOKUP(Vlookup!B274,'CDCM Forecast Data'!$A$14:$I$271,7,FALSE)</f>
        <v>5.9273595790326206E-2</v>
      </c>
      <c r="C307" s="11">
        <f>VLOOKUP(Vlookup!C274,'CDCM Forecast Data'!$A$14:$I$271,7,FALSE)</f>
        <v>0.24811484564374295</v>
      </c>
      <c r="D307" s="11">
        <f>VLOOKUP(Vlookup!D274,'CDCM Forecast Data'!$A$14:$I$271,7,FALSE)</f>
        <v>0.69261155856593071</v>
      </c>
      <c r="E307" s="7" t="s">
        <v>224</v>
      </c>
      <c r="F307"/>
      <c r="G307"/>
      <c r="H307"/>
      <c r="I307"/>
      <c r="J307"/>
      <c r="K307"/>
    </row>
    <row r="308" spans="1:11" ht="15">
      <c r="A308" s="8" t="s">
        <v>96</v>
      </c>
      <c r="B308" s="11">
        <f>VLOOKUP(Vlookup!B275,'CDCM Forecast Data'!$A$14:$I$271,7,FALSE)</f>
        <v>2.4492897224272499E-3</v>
      </c>
      <c r="C308" s="11">
        <f>VLOOKUP(Vlookup!C275,'CDCM Forecast Data'!$A$14:$I$271,7,FALSE)</f>
        <v>0.69957381670812457</v>
      </c>
      <c r="D308" s="11">
        <f>VLOOKUP(Vlookup!D275,'CDCM Forecast Data'!$A$14:$I$271,7,FALSE)</f>
        <v>0.29797689356944818</v>
      </c>
      <c r="E308" s="7" t="s">
        <v>224</v>
      </c>
      <c r="F308"/>
      <c r="G308"/>
      <c r="H308"/>
      <c r="I308"/>
      <c r="J308"/>
      <c r="K308"/>
    </row>
    <row r="309" spans="1:11" ht="15">
      <c r="A309"/>
      <c r="B309"/>
      <c r="C309"/>
      <c r="D309"/>
      <c r="E309"/>
      <c r="F309"/>
      <c r="G309"/>
      <c r="H309"/>
      <c r="I309"/>
      <c r="J309"/>
      <c r="K309"/>
    </row>
    <row r="310" spans="1:11" ht="19.5">
      <c r="A310" s="1" t="s">
        <v>202</v>
      </c>
      <c r="B310"/>
      <c r="C310"/>
      <c r="D310"/>
      <c r="E310"/>
      <c r="F310"/>
      <c r="G310"/>
      <c r="H310"/>
      <c r="I310"/>
      <c r="J310"/>
      <c r="K310"/>
    </row>
    <row r="311" spans="1:11" ht="15">
      <c r="A311" s="2" t="s">
        <v>203</v>
      </c>
      <c r="B311"/>
      <c r="C311"/>
      <c r="D311"/>
      <c r="E311"/>
      <c r="F311"/>
      <c r="G311"/>
      <c r="H311"/>
      <c r="I311"/>
      <c r="J311"/>
      <c r="K311"/>
    </row>
    <row r="312" spans="1:11" ht="15">
      <c r="A312" s="2" t="s">
        <v>204</v>
      </c>
      <c r="B312"/>
      <c r="C312"/>
      <c r="D312"/>
      <c r="E312"/>
      <c r="F312"/>
      <c r="G312"/>
      <c r="H312"/>
      <c r="I312"/>
      <c r="J312"/>
      <c r="K312"/>
    </row>
    <row r="313" spans="1:11" ht="15">
      <c r="A313"/>
      <c r="B313"/>
      <c r="C313"/>
      <c r="D313"/>
      <c r="E313"/>
      <c r="F313"/>
      <c r="G313"/>
      <c r="H313"/>
      <c r="I313"/>
      <c r="J313"/>
      <c r="K313"/>
    </row>
    <row r="314" spans="1:11" ht="15">
      <c r="A314"/>
      <c r="B314" s="3" t="s">
        <v>200</v>
      </c>
      <c r="C314" s="3" t="s">
        <v>201</v>
      </c>
      <c r="D314" s="3" t="s">
        <v>197</v>
      </c>
      <c r="E314"/>
      <c r="F314"/>
      <c r="G314"/>
      <c r="H314"/>
      <c r="I314"/>
      <c r="J314"/>
      <c r="K314"/>
    </row>
    <row r="315" spans="1:11" ht="15">
      <c r="A315" s="8" t="s">
        <v>205</v>
      </c>
      <c r="B315" s="14">
        <f>VLOOKUP(Vlookup!B282,'CDCM Forecast Data'!$A$14:$I$271,7,FALSE)</f>
        <v>150</v>
      </c>
      <c r="C315" s="14">
        <f>VLOOKUP(Vlookup!C282,'CDCM Forecast Data'!$A$14:$I$271,7,FALSE)</f>
        <v>3816</v>
      </c>
      <c r="D315" s="14">
        <f>VLOOKUP(Vlookup!D282,'CDCM Forecast Data'!$A$14:$I$271,7,FALSE)</f>
        <v>4794</v>
      </c>
      <c r="E315" s="7" t="s">
        <v>224</v>
      </c>
      <c r="F315"/>
      <c r="G315"/>
      <c r="H315"/>
      <c r="I315"/>
      <c r="J315"/>
      <c r="K315"/>
    </row>
    <row r="316" spans="1:11" ht="15">
      <c r="A316"/>
      <c r="B316"/>
      <c r="C316"/>
      <c r="D316"/>
      <c r="E316"/>
      <c r="F316"/>
      <c r="G316"/>
      <c r="H316"/>
      <c r="I316"/>
      <c r="J316"/>
      <c r="K316"/>
    </row>
    <row r="317" spans="1:11" ht="19.5">
      <c r="A317" s="1" t="s">
        <v>206</v>
      </c>
      <c r="B317"/>
      <c r="C317"/>
      <c r="D317"/>
      <c r="E317"/>
      <c r="F317"/>
      <c r="G317"/>
      <c r="H317"/>
      <c r="I317"/>
      <c r="J317"/>
      <c r="K317"/>
    </row>
    <row r="318" spans="1:11" ht="15">
      <c r="A318" s="2"/>
      <c r="B318"/>
      <c r="C318"/>
      <c r="D318"/>
      <c r="E318"/>
      <c r="F318"/>
      <c r="G318"/>
      <c r="H318"/>
      <c r="I318"/>
      <c r="J318"/>
      <c r="K318"/>
    </row>
    <row r="319" spans="1:11" ht="15">
      <c r="A319" s="2" t="s">
        <v>203</v>
      </c>
      <c r="B319"/>
      <c r="C319"/>
      <c r="D319"/>
      <c r="E319"/>
      <c r="F319"/>
      <c r="G319"/>
      <c r="H319"/>
      <c r="I319"/>
      <c r="J319"/>
      <c r="K319"/>
    </row>
    <row r="320" spans="1:11" ht="15">
      <c r="A320" t="s">
        <v>204</v>
      </c>
      <c r="B320"/>
      <c r="C320"/>
      <c r="D320"/>
      <c r="E320"/>
      <c r="F320"/>
      <c r="G320"/>
      <c r="H320"/>
      <c r="I320"/>
      <c r="J320"/>
      <c r="K320"/>
    </row>
    <row r="321" spans="1:11" ht="15">
      <c r="A321"/>
      <c r="B321" s="3" t="s">
        <v>195</v>
      </c>
      <c r="C321" s="3" t="s">
        <v>196</v>
      </c>
      <c r="D321" s="3" t="s">
        <v>197</v>
      </c>
      <c r="E321"/>
      <c r="F321"/>
      <c r="G321"/>
      <c r="H321"/>
      <c r="I321"/>
      <c r="J321"/>
      <c r="K321"/>
    </row>
    <row r="322" spans="1:11" ht="15">
      <c r="A322" s="8" t="s">
        <v>205</v>
      </c>
      <c r="B322" s="14">
        <f>VLOOKUP(Vlookup!B289,'CDCM Forecast Data'!$A$14:$I$271,7,FALSE)</f>
        <v>522</v>
      </c>
      <c r="C322" s="14">
        <f>VLOOKUP(Vlookup!C289,'CDCM Forecast Data'!$A$14:$I$271,7,FALSE)</f>
        <v>3444</v>
      </c>
      <c r="D322" s="14">
        <f>VLOOKUP(Vlookup!D289,'CDCM Forecast Data'!$A$14:$I$271,7,FALSE)</f>
        <v>4794</v>
      </c>
      <c r="E322" s="7" t="s">
        <v>224</v>
      </c>
      <c r="F322"/>
      <c r="G322"/>
      <c r="H322"/>
      <c r="I322"/>
      <c r="J322"/>
      <c r="K322"/>
    </row>
    <row r="323" spans="1:11" ht="15">
      <c r="A323"/>
      <c r="B323"/>
      <c r="C323"/>
      <c r="D323"/>
      <c r="E323"/>
      <c r="F323"/>
      <c r="G323"/>
      <c r="H323"/>
      <c r="I323"/>
      <c r="J323"/>
      <c r="K323"/>
    </row>
    <row r="324" spans="1:11" ht="19.5">
      <c r="A324" s="1" t="s">
        <v>207</v>
      </c>
      <c r="B324"/>
      <c r="C324"/>
      <c r="D324"/>
      <c r="E324"/>
      <c r="F324"/>
      <c r="G324"/>
      <c r="H324"/>
      <c r="I324"/>
      <c r="J324"/>
      <c r="K324"/>
    </row>
    <row r="325" spans="1:11" ht="15">
      <c r="A325" s="2"/>
      <c r="B325"/>
      <c r="C325"/>
      <c r="D325"/>
      <c r="E325"/>
      <c r="F325"/>
      <c r="G325"/>
      <c r="H325"/>
      <c r="I325"/>
      <c r="J325"/>
      <c r="K325"/>
    </row>
    <row r="326" spans="1:11" ht="15">
      <c r="A326"/>
      <c r="B326"/>
      <c r="C326"/>
      <c r="D326"/>
      <c r="E326"/>
      <c r="F326"/>
      <c r="G326"/>
      <c r="H326"/>
      <c r="I326"/>
      <c r="J326"/>
      <c r="K326"/>
    </row>
    <row r="327" spans="1:11" ht="15">
      <c r="A327" t="s">
        <v>208</v>
      </c>
      <c r="B327" s="15"/>
      <c r="C327" s="15"/>
      <c r="D327" s="15"/>
      <c r="E327"/>
      <c r="F327"/>
      <c r="G327"/>
      <c r="H327"/>
      <c r="I327"/>
      <c r="J327"/>
      <c r="K327"/>
    </row>
    <row r="328" spans="1:11" ht="15">
      <c r="A328"/>
      <c r="B328" s="3" t="s">
        <v>195</v>
      </c>
      <c r="C328" s="3" t="s">
        <v>196</v>
      </c>
      <c r="D328" s="3" t="s">
        <v>197</v>
      </c>
      <c r="E328" s="3" t="s">
        <v>200</v>
      </c>
      <c r="F328"/>
      <c r="G328"/>
      <c r="H328"/>
      <c r="I328"/>
      <c r="J328"/>
      <c r="K328"/>
    </row>
    <row r="329" spans="1:11" ht="15">
      <c r="A329" s="8" t="s">
        <v>22</v>
      </c>
      <c r="B329" s="11">
        <f>VLOOKUP(Vlookup!B295,'CDCM Forecast Data'!$A$14:$I$271,7,FALSE)</f>
        <v>1</v>
      </c>
      <c r="C329" s="11">
        <f>VLOOKUP(Vlookup!C295,'CDCM Forecast Data'!$A$14:$I$271,7,FALSE)</f>
        <v>0</v>
      </c>
      <c r="D329" s="11">
        <f>VLOOKUP(Vlookup!D295,'CDCM Forecast Data'!$A$14:$I$271,7,FALSE)</f>
        <v>0</v>
      </c>
      <c r="E329" s="11">
        <f>VLOOKUP(Vlookup!E295,'CDCM Forecast Data'!$A$14:$I$271,7,FALSE)</f>
        <v>0.92156483159064961</v>
      </c>
      <c r="F329" s="7" t="s">
        <v>224</v>
      </c>
      <c r="G329"/>
      <c r="H329"/>
      <c r="I329"/>
      <c r="J329"/>
      <c r="K329"/>
    </row>
    <row r="330" spans="1:11" ht="15">
      <c r="A330" s="8" t="s">
        <v>23</v>
      </c>
      <c r="B330" s="11">
        <f>VLOOKUP(Vlookup!B296,'CDCM Forecast Data'!$A$14:$I$271,7,FALSE)</f>
        <v>0.84421935577541152</v>
      </c>
      <c r="C330" s="11">
        <f>VLOOKUP(Vlookup!C296,'CDCM Forecast Data'!$A$14:$I$271,7,FALSE)</f>
        <v>9.0147705546417975E-2</v>
      </c>
      <c r="D330" s="11">
        <f>VLOOKUP(Vlookup!D296,'CDCM Forecast Data'!$A$14:$I$271,7,FALSE)</f>
        <v>6.5632938678170452E-2</v>
      </c>
      <c r="E330" s="11">
        <f>VLOOKUP(Vlookup!E296,'CDCM Forecast Data'!$A$14:$I$271,7,FALSE)</f>
        <v>0.8059370919906842</v>
      </c>
      <c r="F330" s="7" t="s">
        <v>224</v>
      </c>
      <c r="G330"/>
      <c r="H330"/>
      <c r="I330"/>
      <c r="J330"/>
      <c r="K330"/>
    </row>
    <row r="331" spans="1:11" ht="15">
      <c r="A331" s="8" t="s">
        <v>24</v>
      </c>
      <c r="B331" s="11">
        <f>VLOOKUP(Vlookup!B297,'CDCM Forecast Data'!$A$14:$I$271,7,FALSE)</f>
        <v>0.84421935577541152</v>
      </c>
      <c r="C331" s="11">
        <f>VLOOKUP(Vlookup!C297,'CDCM Forecast Data'!$A$14:$I$271,7,FALSE)</f>
        <v>9.0147705546417975E-2</v>
      </c>
      <c r="D331" s="11">
        <f>VLOOKUP(Vlookup!D297,'CDCM Forecast Data'!$A$14:$I$271,7,FALSE)</f>
        <v>6.5632938678170452E-2</v>
      </c>
      <c r="E331" s="11">
        <f>VLOOKUP(Vlookup!E297,'CDCM Forecast Data'!$A$14:$I$271,7,FALSE)</f>
        <v>0.8059370919906842</v>
      </c>
      <c r="F331" s="7" t="s">
        <v>224</v>
      </c>
      <c r="G331"/>
      <c r="H331"/>
      <c r="I331"/>
      <c r="J331"/>
      <c r="K331"/>
    </row>
    <row r="332" spans="1:11" ht="15">
      <c r="A332" s="8" t="s">
        <v>25</v>
      </c>
      <c r="B332" s="11">
        <f>VLOOKUP(Vlookup!B298,'CDCM Forecast Data'!$A$14:$I$271,7,FALSE)</f>
        <v>0.60266573066353191</v>
      </c>
      <c r="C332" s="11">
        <f>VLOOKUP(Vlookup!C298,'CDCM Forecast Data'!$A$14:$I$271,7,FALSE)</f>
        <v>0.31015129614903031</v>
      </c>
      <c r="D332" s="11">
        <f>VLOOKUP(Vlookup!D298,'CDCM Forecast Data'!$A$14:$I$271,7,FALSE)</f>
        <v>8.7182973187437854E-2</v>
      </c>
      <c r="E332" s="11">
        <f>VLOOKUP(Vlookup!E298,'CDCM Forecast Data'!$A$14:$I$271,7,FALSE)</f>
        <v>0.53548212993836886</v>
      </c>
      <c r="F332" s="7" t="s">
        <v>224</v>
      </c>
      <c r="G332"/>
      <c r="H332"/>
      <c r="I332"/>
      <c r="J332"/>
      <c r="K332"/>
    </row>
    <row r="333" spans="1:11" ht="15">
      <c r="A333" s="8" t="s">
        <v>26</v>
      </c>
      <c r="B333" s="11">
        <f>VLOOKUP(Vlookup!B299,'CDCM Forecast Data'!$A$14:$I$271,7,FALSE)</f>
        <v>0.60266573066353191</v>
      </c>
      <c r="C333" s="11">
        <f>VLOOKUP(Vlookup!C299,'CDCM Forecast Data'!$A$14:$I$271,7,FALSE)</f>
        <v>0.31015129614903031</v>
      </c>
      <c r="D333" s="11">
        <f>VLOOKUP(Vlookup!D299,'CDCM Forecast Data'!$A$14:$I$271,7,FALSE)</f>
        <v>8.7182973187437854E-2</v>
      </c>
      <c r="E333" s="11">
        <f>VLOOKUP(Vlookup!E299,'CDCM Forecast Data'!$A$14:$I$271,7,FALSE)</f>
        <v>0.53548212993836886</v>
      </c>
      <c r="F333" s="7" t="s">
        <v>224</v>
      </c>
      <c r="G333"/>
      <c r="H333"/>
      <c r="I333"/>
      <c r="J333"/>
      <c r="K333"/>
    </row>
    <row r="334" spans="1:11" ht="15">
      <c r="A334" s="8" t="s">
        <v>31</v>
      </c>
      <c r="B334" s="11">
        <f>VLOOKUP(Vlookup!B300,'CDCM Forecast Data'!$A$14:$I$271,7,FALSE)</f>
        <v>0.84421935577541152</v>
      </c>
      <c r="C334" s="11">
        <f>VLOOKUP(Vlookup!C300,'CDCM Forecast Data'!$A$14:$I$271,7,FALSE)</f>
        <v>9.0147705546417975E-2</v>
      </c>
      <c r="D334" s="11">
        <f>VLOOKUP(Vlookup!D300,'CDCM Forecast Data'!$A$14:$I$271,7,FALSE)</f>
        <v>6.5632938678170452E-2</v>
      </c>
      <c r="E334" s="11">
        <f>VLOOKUP(Vlookup!E300,'CDCM Forecast Data'!$A$14:$I$271,7,FALSE)</f>
        <v>0.8059370919906842</v>
      </c>
      <c r="F334" s="7" t="s">
        <v>224</v>
      </c>
      <c r="G334"/>
      <c r="H334"/>
      <c r="I334"/>
      <c r="J334"/>
      <c r="K334"/>
    </row>
    <row r="335" spans="1:11" ht="15">
      <c r="A335" s="8" t="s">
        <v>27</v>
      </c>
      <c r="B335" s="11">
        <f>VLOOKUP(Vlookup!B301,'CDCM Forecast Data'!$A$14:$I$271,7,FALSE)</f>
        <v>0.60266573066353191</v>
      </c>
      <c r="C335" s="11">
        <f>VLOOKUP(Vlookup!C301,'CDCM Forecast Data'!$A$14:$I$271,7,FALSE)</f>
        <v>0.31015129614903031</v>
      </c>
      <c r="D335" s="11">
        <f>VLOOKUP(Vlookup!D301,'CDCM Forecast Data'!$A$14:$I$271,7,FALSE)</f>
        <v>8.7182973187437854E-2</v>
      </c>
      <c r="E335" s="11">
        <f>VLOOKUP(Vlookup!E301,'CDCM Forecast Data'!$A$14:$I$271,7,FALSE)</f>
        <v>0.53548212993836886</v>
      </c>
      <c r="F335" s="7" t="s">
        <v>224</v>
      </c>
      <c r="G335"/>
      <c r="H335"/>
      <c r="I335"/>
      <c r="J335"/>
      <c r="K335"/>
    </row>
    <row r="336" spans="1:11" ht="15">
      <c r="A336" s="8" t="s">
        <v>28</v>
      </c>
      <c r="B336" s="11">
        <f>VLOOKUP(Vlookup!B302,'CDCM Forecast Data'!$A$14:$I$271,7,FALSE)</f>
        <v>0.60266573066353191</v>
      </c>
      <c r="C336" s="11">
        <f>VLOOKUP(Vlookup!C302,'CDCM Forecast Data'!$A$14:$I$271,7,FALSE)</f>
        <v>0.31015129614903031</v>
      </c>
      <c r="D336" s="11">
        <f>VLOOKUP(Vlookup!D302,'CDCM Forecast Data'!$A$14:$I$271,7,FALSE)</f>
        <v>8.7182973187437854E-2</v>
      </c>
      <c r="E336" s="11">
        <f>VLOOKUP(Vlookup!E302,'CDCM Forecast Data'!$A$14:$I$271,7,FALSE)</f>
        <v>0.53548212993836886</v>
      </c>
      <c r="F336" s="7" t="s">
        <v>224</v>
      </c>
      <c r="G336"/>
      <c r="H336"/>
      <c r="I336"/>
      <c r="J336"/>
      <c r="K336"/>
    </row>
    <row r="337" spans="1:11" ht="15">
      <c r="A337" s="8" t="s">
        <v>29</v>
      </c>
      <c r="B337" s="11">
        <f>VLOOKUP(Vlookup!B303,'CDCM Forecast Data'!$A$14:$I$271,7,FALSE)</f>
        <v>0.60266573066353191</v>
      </c>
      <c r="C337" s="11">
        <f>VLOOKUP(Vlookup!C303,'CDCM Forecast Data'!$A$14:$I$271,7,FALSE)</f>
        <v>0.31015129614903031</v>
      </c>
      <c r="D337" s="11">
        <f>VLOOKUP(Vlookup!D303,'CDCM Forecast Data'!$A$14:$I$271,7,FALSE)</f>
        <v>8.7182973187437854E-2</v>
      </c>
      <c r="E337" s="11">
        <f>VLOOKUP(Vlookup!E303,'CDCM Forecast Data'!$A$14:$I$271,7,FALSE)</f>
        <v>0.53548212993836886</v>
      </c>
      <c r="F337" s="7" t="s">
        <v>224</v>
      </c>
      <c r="G337"/>
      <c r="H337"/>
      <c r="I337"/>
      <c r="J337"/>
      <c r="K337"/>
    </row>
    <row r="338" spans="1:11" ht="15">
      <c r="A338"/>
      <c r="B338"/>
      <c r="C338"/>
      <c r="D338"/>
      <c r="E338"/>
      <c r="F338"/>
      <c r="G338"/>
      <c r="H338"/>
      <c r="I338"/>
      <c r="J338"/>
      <c r="K338"/>
    </row>
    <row r="339" spans="1:11" ht="19.5">
      <c r="A339" s="1" t="s">
        <v>1166</v>
      </c>
      <c r="B339"/>
      <c r="C339"/>
      <c r="D339"/>
      <c r="E339"/>
      <c r="F339"/>
      <c r="G339"/>
      <c r="H339"/>
      <c r="I339"/>
      <c r="J339"/>
      <c r="K339"/>
    </row>
    <row r="340" spans="1:11" ht="15">
      <c r="A340" s="2" t="s">
        <v>1165</v>
      </c>
      <c r="B340"/>
      <c r="C340"/>
      <c r="D340"/>
      <c r="E340"/>
      <c r="F340"/>
      <c r="G340"/>
      <c r="H340"/>
      <c r="I340"/>
      <c r="J340"/>
      <c r="K340"/>
    </row>
    <row r="341" spans="1:11" ht="15">
      <c r="A341"/>
      <c r="B341"/>
      <c r="C341"/>
      <c r="D341"/>
      <c r="E341"/>
      <c r="F341"/>
      <c r="G341"/>
      <c r="H341"/>
      <c r="I341"/>
      <c r="J341"/>
      <c r="K341"/>
    </row>
    <row r="342" spans="1:11" ht="30">
      <c r="A342"/>
      <c r="B342" s="3" t="s">
        <v>1164</v>
      </c>
      <c r="C342"/>
      <c r="D342"/>
      <c r="E342"/>
      <c r="F342"/>
      <c r="G342"/>
      <c r="H342"/>
      <c r="I342"/>
      <c r="J342"/>
      <c r="K342"/>
    </row>
    <row r="343" spans="1:11" ht="15">
      <c r="A343" s="8" t="s">
        <v>1164</v>
      </c>
      <c r="B343" s="10">
        <f>1000000*'Table 1'!H48</f>
        <v>358359457.36675042</v>
      </c>
      <c r="C343" s="7"/>
      <c r="D343"/>
      <c r="E343"/>
      <c r="F343"/>
      <c r="G343"/>
      <c r="H343"/>
      <c r="I343"/>
      <c r="J343"/>
      <c r="K343"/>
    </row>
    <row r="344" spans="1:11" ht="15">
      <c r="A344"/>
      <c r="B344"/>
      <c r="C344"/>
      <c r="D344"/>
      <c r="E344"/>
      <c r="F344"/>
      <c r="G344"/>
      <c r="H344"/>
      <c r="I344"/>
      <c r="J344"/>
      <c r="K344"/>
    </row>
    <row r="345" spans="1:11" ht="19.5">
      <c r="A345" s="1" t="s">
        <v>210</v>
      </c>
      <c r="B345"/>
      <c r="C345"/>
      <c r="D345"/>
      <c r="E345"/>
      <c r="F345"/>
      <c r="G345"/>
      <c r="H345"/>
      <c r="I345"/>
      <c r="J345"/>
      <c r="K345"/>
    </row>
    <row r="346" spans="1:11" ht="15">
      <c r="A346" s="2" t="s">
        <v>224</v>
      </c>
      <c r="B346"/>
      <c r="C346"/>
      <c r="D346"/>
      <c r="E346"/>
      <c r="F346"/>
      <c r="G346"/>
      <c r="H346"/>
      <c r="I346"/>
      <c r="J346"/>
      <c r="K346"/>
    </row>
    <row r="347" spans="1:11" ht="15">
      <c r="A347" s="2" t="s">
        <v>211</v>
      </c>
      <c r="B347"/>
      <c r="C347"/>
      <c r="D347"/>
      <c r="E347"/>
      <c r="F347"/>
      <c r="G347"/>
      <c r="H347"/>
      <c r="I347"/>
      <c r="J347"/>
      <c r="K347"/>
    </row>
    <row r="348" spans="1:11" ht="15">
      <c r="A348" t="s">
        <v>212</v>
      </c>
      <c r="B348"/>
      <c r="C348"/>
      <c r="D348"/>
      <c r="E348"/>
      <c r="F348"/>
      <c r="G348"/>
      <c r="H348"/>
      <c r="I348"/>
      <c r="J348"/>
      <c r="K348"/>
    </row>
    <row r="349" spans="1:11" ht="15">
      <c r="A349"/>
      <c r="B349" s="3" t="s">
        <v>22</v>
      </c>
      <c r="C349" s="3" t="s">
        <v>23</v>
      </c>
      <c r="D349" s="3" t="s">
        <v>24</v>
      </c>
      <c r="E349" s="3" t="s">
        <v>25</v>
      </c>
      <c r="F349" s="3" t="s">
        <v>26</v>
      </c>
      <c r="G349" s="3" t="s">
        <v>31</v>
      </c>
      <c r="H349" s="3" t="s">
        <v>27</v>
      </c>
      <c r="I349" s="3" t="s">
        <v>28</v>
      </c>
      <c r="J349" s="3" t="s">
        <v>29</v>
      </c>
      <c r="K349"/>
    </row>
    <row r="350" spans="1:11" ht="15">
      <c r="A350" s="8" t="s">
        <v>213</v>
      </c>
      <c r="B350" s="4">
        <f>VLOOKUP(Vlookup!B310,'CDCM Forecast Data'!$A$14:$I$271,7,FALSE)</f>
        <v>0.19278921811900199</v>
      </c>
      <c r="C350" s="4">
        <f>VLOOKUP(Vlookup!C310,'CDCM Forecast Data'!$A$14:$I$271,7,FALSE)</f>
        <v>0.19278921811900199</v>
      </c>
      <c r="D350" s="4">
        <f>VLOOKUP(Vlookup!D310,'CDCM Forecast Data'!$A$14:$I$271,7,FALSE)</f>
        <v>0.19278921811900199</v>
      </c>
      <c r="E350" s="4">
        <f>VLOOKUP(Vlookup!E310,'CDCM Forecast Data'!$A$14:$I$271,7,FALSE)</f>
        <v>0.19278921811900199</v>
      </c>
      <c r="F350" s="4">
        <f>VLOOKUP(Vlookup!F310,'CDCM Forecast Data'!$A$14:$I$271,7,FALSE)</f>
        <v>0.19278921811900199</v>
      </c>
      <c r="G350" s="4">
        <f>VLOOKUP(Vlookup!G310,'CDCM Forecast Data'!$A$14:$I$271,7,FALSE)</f>
        <v>0.19278921811900199</v>
      </c>
      <c r="H350" s="4">
        <f>VLOOKUP(Vlookup!H310,'CDCM Forecast Data'!$A$14:$I$271,7,FALSE)</f>
        <v>0.19278921811900199</v>
      </c>
      <c r="I350" s="4">
        <f>VLOOKUP(Vlookup!I310,'CDCM Forecast Data'!$A$14:$I$271,7,FALSE)</f>
        <v>0.19278921811900199</v>
      </c>
      <c r="J350" s="4">
        <f>VLOOKUP(Vlookup!J310,'CDCM Forecast Data'!$A$14:$I$271,7,FALSE)</f>
        <v>0.19278921811900199</v>
      </c>
      <c r="K350" s="7" t="s">
        <v>224</v>
      </c>
    </row>
  </sheetData>
  <dataValidations count="7">
    <dataValidation type="decimal" allowBlank="1" showInputMessage="1" showErrorMessage="1" error="The number in this cell must be between 0% and 100%." sqref="B94:I94 B68:I87 B99:F104">
      <formula1>0</formula1>
      <formula2>1</formula2>
    </dataValidation>
    <dataValidation type="decimal" allowBlank="1" showInputMessage="1" showErrorMessage="1" error="The LDNO discount must be between 0% and 100%." sqref="B116">
      <formula1>0</formula1>
      <formula2>1</formula2>
    </dataValidation>
    <dataValidation type="decimal" allowBlank="1" showInputMessage="1" showErrorMessage="1" error="The coincidence factor must be between 0% and 100%." sqref="B124 B127">
      <formula1>0</formula1>
      <formula2>1</formula2>
    </dataValidation>
    <dataValidation type="textLength" operator="equal" allowBlank="1" showInputMessage="1" showErrorMessage="1" error="This cell should remain blank." sqref="B225:H225 B229:H229 B231:H231 B235:H235 B237:H237 B240:H240 B242:H242 H226:H228 H232:H234 H238:H239 H243:H244 B243:E244 B218:H218 B148:H148 B152:H152 B214:H214 B210:H210 B206:H206 B202:H202 B184:H184 B180:H180 B178:H178 B176:H176 B169:B171 B168:H168 B164:H164 B160:H160 B156:H156 B222:H222 B149:B151 E149:E151 B153:C155 E153:E155 E157:E159 B157:B159 B161:B163 E161:E163 E165:E167 B165:C167 H253:H254 B173:C175 E169:E175 B177:C177 E177 B179:C179 E179 B181:E183 B185:E187 B188:H198 B199:B201 E199:E201 B203:B205 E203:E205 B207:B209 E207:E209 B211:B213 E211:E213 B215:E217 B219:B221 E219:E221 B223:B224 E223:E224 B226:B228 E226:E228 B230 E230 B232:E234 B236:E236 B238:B239 E238:E239 B241 E241 B245:H245 B247:H247 B250:H250 B252:H252 B255:H255 H248:H249 B246:E246 B253:E254 B248:B249 E248:E249 B251 E251 B256:E256 B172:D172 F172:H172">
      <formula1>0</formula1>
    </dataValidation>
    <dataValidation type="decimal" allowBlank="1" showInputMessage="1" showErrorMessage="1" errorTitle="Invalid customer contribution" error="The customer contribution must be a non-negative percentage value." sqref="I276:I278 F278:G278 H277:H278">
      <formula1>0</formula1>
      <formula2>4</formula2>
    </dataValidation>
    <dataValidation type="decimal" operator="greaterThanOrEqual" allowBlank="1" showInputMessage="1" showErrorMessage="1" errorTitle="Volume data error" error="The volume must be a non-negative number." sqref="F223:H224 C226:D228 F230:H230 F226:G228 F236:H236 F232:G234 F241:H241 F238:G239 F243:G244 C230:D230 C238:D239 C241:D241 F215:H217 F219:H221 F211:H213 F207:H209 F203:H205 F199:H201 D173:D175 D177 D179 F185:H187 F181:H183 F179:H179 F177:H177 F173:H175 F169:H171 D165:D167 F161:H163 C157:D159 F153:H155 C149:D151 F149:H151 D153:D155 F157:H159 C161:D163 F165:H167 C169:D171 C199:D201 C203:D205 C207:D209 C211:D213 C219:D221 C223:D224 F256:H256 F246:H246 F251:H251 F248:G249 C248:D249 C251:D251 F253:G254">
      <formula1>0</formula1>
    </dataValidation>
    <dataValidation type="decimal" operator="greaterThanOrEqual" allowBlank="1" showInputMessage="1" showErrorMessage="1" sqref="B343">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L350"/>
  <sheetViews>
    <sheetView showGridLines="0" workbookViewId="0">
      <selection activeCell="A4" sqref="A4:K350"/>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1127</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224</v>
      </c>
      <c r="B5"/>
      <c r="C5"/>
      <c r="D5"/>
      <c r="E5"/>
      <c r="F5"/>
      <c r="G5"/>
      <c r="H5"/>
      <c r="I5"/>
      <c r="J5"/>
      <c r="K5"/>
    </row>
    <row r="6" spans="1:11" ht="15">
      <c r="A6"/>
      <c r="B6" s="3" t="s">
        <v>1</v>
      </c>
      <c r="C6" s="3" t="s">
        <v>2</v>
      </c>
      <c r="D6" s="3" t="s">
        <v>3</v>
      </c>
      <c r="E6"/>
      <c r="F6"/>
      <c r="G6"/>
      <c r="H6"/>
      <c r="I6"/>
      <c r="J6"/>
      <c r="K6"/>
    </row>
    <row r="7" spans="1:11" ht="15">
      <c r="A7" s="8" t="s">
        <v>4</v>
      </c>
      <c r="B7" s="9">
        <f>VLOOKUP(Vlookup!B7,'CDCM Forecast Data'!$A$14:$I$271,8,FALSE)</f>
        <v>0</v>
      </c>
      <c r="C7" s="9">
        <f>VLOOKUP(Vlookup!C7,'CDCM Forecast Data'!$A$14:$I$271,8,FALSE)</f>
        <v>0</v>
      </c>
      <c r="D7" s="9">
        <f>VLOOKUP(Vlookup!D7,'CDCM Forecast Data'!$A$14:$I$271,8,FALSE)</f>
        <v>0</v>
      </c>
      <c r="E7" s="7" t="s">
        <v>224</v>
      </c>
      <c r="F7"/>
      <c r="G7"/>
      <c r="H7"/>
      <c r="I7"/>
      <c r="J7"/>
      <c r="K7"/>
    </row>
    <row r="8" spans="1:11" ht="15">
      <c r="A8"/>
      <c r="B8"/>
      <c r="C8"/>
      <c r="D8"/>
      <c r="E8"/>
      <c r="F8"/>
      <c r="G8"/>
      <c r="H8"/>
      <c r="I8"/>
      <c r="J8"/>
      <c r="K8"/>
    </row>
    <row r="9" spans="1:11" ht="19.5">
      <c r="A9" s="1" t="s">
        <v>7</v>
      </c>
      <c r="B9"/>
      <c r="C9"/>
      <c r="D9"/>
      <c r="E9"/>
      <c r="F9"/>
      <c r="G9"/>
      <c r="H9"/>
      <c r="I9"/>
      <c r="J9"/>
      <c r="K9"/>
    </row>
    <row r="10" spans="1:11" ht="15">
      <c r="A10" s="2"/>
      <c r="B10"/>
      <c r="C10"/>
      <c r="D10"/>
      <c r="E10"/>
      <c r="F10"/>
      <c r="G10"/>
      <c r="H10"/>
      <c r="I10"/>
      <c r="J10"/>
      <c r="K10"/>
    </row>
    <row r="11" spans="1:11" ht="15">
      <c r="A11" s="2" t="s">
        <v>8</v>
      </c>
      <c r="B11"/>
      <c r="C11"/>
      <c r="D11"/>
      <c r="E11"/>
      <c r="F11"/>
      <c r="G11"/>
      <c r="H11"/>
      <c r="I11"/>
      <c r="J11"/>
      <c r="K11"/>
    </row>
    <row r="12" spans="1:11" ht="15">
      <c r="A12" t="s">
        <v>9</v>
      </c>
      <c r="B12"/>
      <c r="C12"/>
      <c r="D12"/>
      <c r="E12"/>
      <c r="F12"/>
      <c r="G12"/>
      <c r="H12"/>
      <c r="I12"/>
      <c r="J12"/>
      <c r="K12"/>
    </row>
    <row r="13" spans="1:11" ht="45">
      <c r="A13"/>
      <c r="B13" s="3" t="s">
        <v>10</v>
      </c>
      <c r="C13" s="3" t="s">
        <v>11</v>
      </c>
      <c r="D13" s="3" t="s">
        <v>12</v>
      </c>
      <c r="E13" s="3" t="s">
        <v>13</v>
      </c>
      <c r="F13" s="3" t="s">
        <v>1050</v>
      </c>
      <c r="G13"/>
      <c r="H13"/>
      <c r="I13"/>
      <c r="J13"/>
      <c r="K13"/>
    </row>
    <row r="14" spans="1:11" ht="15">
      <c r="A14" s="8" t="s">
        <v>14</v>
      </c>
      <c r="B14" s="11">
        <f>VLOOKUP(Vlookup!B14,'CDCM Forecast Data'!$A$14:$I$271,8,FALSE)</f>
        <v>4.2099999999999999E-2</v>
      </c>
      <c r="C14" s="10">
        <f>VLOOKUP(Vlookup!C14,'CDCM Forecast Data'!$A$14:$I$271,8,FALSE)</f>
        <v>40</v>
      </c>
      <c r="D14" s="5"/>
      <c r="E14" s="4">
        <f>VLOOKUP(Vlookup!E14,'CDCM Forecast Data'!$A$14:$I$271,8,FALSE)</f>
        <v>0.95</v>
      </c>
      <c r="F14" s="10">
        <f>VLOOKUP(Vlookup!F14,'CDCM Forecast Data'!$A$14:$I$271,8,FALSE)</f>
        <v>365</v>
      </c>
      <c r="G14" s="7" t="s">
        <v>224</v>
      </c>
      <c r="H14"/>
      <c r="I14"/>
      <c r="J14"/>
      <c r="K14"/>
    </row>
    <row r="15" spans="1:11" ht="15">
      <c r="A15"/>
      <c r="B15"/>
      <c r="C15"/>
      <c r="D15"/>
      <c r="E15"/>
      <c r="F15"/>
      <c r="G15"/>
      <c r="H15"/>
      <c r="I15"/>
      <c r="J15"/>
      <c r="K15"/>
    </row>
    <row r="16" spans="1:11" ht="19.5">
      <c r="A16" s="1" t="s">
        <v>15</v>
      </c>
      <c r="B16"/>
      <c r="C16"/>
      <c r="D16"/>
      <c r="E16"/>
      <c r="F16"/>
      <c r="G16"/>
      <c r="H16"/>
      <c r="I16"/>
      <c r="J16"/>
      <c r="K16"/>
    </row>
    <row r="17" spans="1:11" ht="15">
      <c r="A17" s="2"/>
      <c r="B17"/>
      <c r="C17"/>
      <c r="D17"/>
      <c r="E17"/>
      <c r="F17"/>
      <c r="G17"/>
      <c r="H17"/>
      <c r="I17"/>
      <c r="J17"/>
      <c r="K17"/>
    </row>
    <row r="18" spans="1:11" ht="15">
      <c r="A18" s="2" t="s">
        <v>16</v>
      </c>
      <c r="B18"/>
      <c r="C18"/>
      <c r="D18"/>
      <c r="E18"/>
      <c r="F18"/>
      <c r="G18"/>
      <c r="H18"/>
      <c r="I18"/>
      <c r="J18"/>
      <c r="K18"/>
    </row>
    <row r="19" spans="1:11" ht="15">
      <c r="A19" s="2" t="s">
        <v>17</v>
      </c>
      <c r="B19"/>
      <c r="C19"/>
      <c r="D19"/>
      <c r="E19"/>
      <c r="F19"/>
      <c r="G19"/>
      <c r="H19"/>
      <c r="I19"/>
      <c r="J19"/>
      <c r="K19"/>
    </row>
    <row r="20" spans="1:11" ht="15">
      <c r="A20" s="2" t="s">
        <v>18</v>
      </c>
      <c r="B20"/>
      <c r="C20"/>
      <c r="D20"/>
      <c r="E20"/>
      <c r="F20"/>
      <c r="G20"/>
      <c r="H20"/>
      <c r="I20"/>
      <c r="J20"/>
      <c r="K20"/>
    </row>
    <row r="21" spans="1:11" ht="15">
      <c r="A21" s="2" t="s">
        <v>19</v>
      </c>
      <c r="B21"/>
      <c r="C21"/>
      <c r="D21"/>
      <c r="E21"/>
      <c r="F21"/>
      <c r="G21"/>
      <c r="H21"/>
      <c r="I21"/>
      <c r="J21"/>
      <c r="K21"/>
    </row>
    <row r="22" spans="1:11" ht="15">
      <c r="A22" t="s">
        <v>20</v>
      </c>
      <c r="B22"/>
      <c r="C22"/>
      <c r="D22"/>
      <c r="E22"/>
      <c r="F22"/>
      <c r="G22"/>
      <c r="H22"/>
      <c r="I22"/>
      <c r="J22"/>
      <c r="K22"/>
    </row>
    <row r="23" spans="1:11" ht="60">
      <c r="A23"/>
      <c r="B23" s="3" t="s">
        <v>21</v>
      </c>
      <c r="C23"/>
      <c r="D23"/>
      <c r="E23"/>
      <c r="F23"/>
      <c r="G23"/>
      <c r="H23"/>
      <c r="I23"/>
      <c r="J23"/>
      <c r="K23"/>
    </row>
    <row r="24" spans="1:11" ht="15">
      <c r="A24" s="8" t="s">
        <v>22</v>
      </c>
      <c r="B24" s="11">
        <f>VLOOKUP(Vlookup!B24,'CDCM Forecast Data'!$A$14:$I$271,8,FALSE)</f>
        <v>2.1999999999999999E-2</v>
      </c>
      <c r="C24" s="7" t="s">
        <v>224</v>
      </c>
      <c r="D24"/>
      <c r="E24"/>
      <c r="F24"/>
      <c r="G24"/>
      <c r="H24"/>
      <c r="I24"/>
      <c r="J24"/>
      <c r="K24"/>
    </row>
    <row r="25" spans="1:11" ht="15">
      <c r="A25" s="8" t="s">
        <v>23</v>
      </c>
      <c r="B25" s="11">
        <f>VLOOKUP(Vlookup!B25,'CDCM Forecast Data'!$A$14:$I$271,8,FALSE)</f>
        <v>3.1E-2</v>
      </c>
      <c r="C25" s="7" t="s">
        <v>224</v>
      </c>
      <c r="D25"/>
      <c r="E25"/>
      <c r="F25"/>
      <c r="G25"/>
      <c r="H25"/>
      <c r="I25"/>
      <c r="J25"/>
      <c r="K25"/>
    </row>
    <row r="26" spans="1:11" ht="15">
      <c r="A26" s="8" t="s">
        <v>24</v>
      </c>
      <c r="B26" s="6"/>
      <c r="C26" s="7" t="s">
        <v>224</v>
      </c>
      <c r="D26"/>
      <c r="E26"/>
      <c r="F26"/>
      <c r="G26"/>
      <c r="H26"/>
      <c r="I26"/>
      <c r="J26"/>
      <c r="K26"/>
    </row>
    <row r="27" spans="1:11" ht="15">
      <c r="A27" s="8" t="s">
        <v>25</v>
      </c>
      <c r="B27" s="11">
        <f>VLOOKUP(Vlookup!B27,'CDCM Forecast Data'!$A$14:$I$271,8,FALSE)</f>
        <v>7.4999999999999997E-2</v>
      </c>
      <c r="C27" s="7" t="s">
        <v>224</v>
      </c>
      <c r="D27"/>
      <c r="E27"/>
      <c r="F27"/>
      <c r="G27"/>
      <c r="H27"/>
      <c r="I27"/>
      <c r="J27"/>
      <c r="K27"/>
    </row>
    <row r="28" spans="1:11" ht="15">
      <c r="A28" s="8" t="s">
        <v>26</v>
      </c>
      <c r="B28" s="6"/>
      <c r="C28" s="7" t="s">
        <v>224</v>
      </c>
      <c r="D28"/>
      <c r="E28"/>
      <c r="F28"/>
      <c r="G28"/>
      <c r="H28"/>
      <c r="I28"/>
      <c r="J28"/>
      <c r="K28"/>
    </row>
    <row r="29" spans="1:11" ht="15">
      <c r="A29" s="8" t="s">
        <v>27</v>
      </c>
      <c r="B29" s="11">
        <f>VLOOKUP(Vlookup!B29,'CDCM Forecast Data'!$A$14:$I$271,8,FALSE)</f>
        <v>0.37</v>
      </c>
      <c r="C29" s="7" t="s">
        <v>224</v>
      </c>
      <c r="D29"/>
      <c r="E29"/>
      <c r="F29"/>
      <c r="G29"/>
      <c r="H29"/>
      <c r="I29"/>
      <c r="J29"/>
      <c r="K29"/>
    </row>
    <row r="30" spans="1:11" ht="15">
      <c r="A30" s="8" t="s">
        <v>28</v>
      </c>
      <c r="B30" s="6"/>
      <c r="C30" s="7" t="s">
        <v>224</v>
      </c>
      <c r="D30"/>
      <c r="E30"/>
      <c r="F30"/>
      <c r="G30"/>
      <c r="H30"/>
      <c r="I30"/>
      <c r="J30"/>
      <c r="K30"/>
    </row>
    <row r="31" spans="1:11" ht="15">
      <c r="A31" s="8" t="s">
        <v>29</v>
      </c>
      <c r="B31" s="6"/>
      <c r="C31" s="7" t="s">
        <v>224</v>
      </c>
      <c r="D31"/>
      <c r="E31"/>
      <c r="F31"/>
      <c r="G31"/>
      <c r="H31"/>
      <c r="I31"/>
      <c r="J31"/>
      <c r="K31"/>
    </row>
    <row r="32" spans="1:11" ht="15">
      <c r="A32"/>
      <c r="B32"/>
      <c r="C32"/>
      <c r="D32"/>
      <c r="E32"/>
      <c r="F32"/>
      <c r="G32"/>
      <c r="H32"/>
      <c r="I32"/>
      <c r="J32"/>
      <c r="K32"/>
    </row>
    <row r="33" spans="1:11" ht="19.5">
      <c r="A33" s="1" t="s">
        <v>30</v>
      </c>
      <c r="B33"/>
      <c r="C33"/>
      <c r="D33"/>
      <c r="E33"/>
      <c r="F33"/>
      <c r="G33"/>
      <c r="H33"/>
      <c r="I33"/>
      <c r="J33"/>
      <c r="K33"/>
    </row>
    <row r="34" spans="1:11" ht="15">
      <c r="A34" t="s">
        <v>224</v>
      </c>
      <c r="B34"/>
      <c r="C34"/>
      <c r="D34"/>
      <c r="E34"/>
      <c r="F34"/>
      <c r="G34"/>
      <c r="H34"/>
      <c r="I34"/>
      <c r="J34"/>
      <c r="K34"/>
    </row>
    <row r="35" spans="1:11" ht="15">
      <c r="A35"/>
      <c r="B35" s="3" t="s">
        <v>31</v>
      </c>
      <c r="C35"/>
      <c r="D35"/>
      <c r="E35"/>
      <c r="F35"/>
      <c r="G35"/>
      <c r="H35"/>
      <c r="I35"/>
      <c r="J35"/>
      <c r="K35"/>
    </row>
    <row r="36" spans="1:11" ht="15">
      <c r="A36" s="8" t="s">
        <v>26</v>
      </c>
      <c r="B36" s="11">
        <f>VLOOKUP(Vlookup!B36,'CDCM Forecast Data'!$A$14:$I$271,8,FALSE)</f>
        <v>0</v>
      </c>
      <c r="C36" s="7" t="s">
        <v>224</v>
      </c>
      <c r="D36"/>
      <c r="E36"/>
      <c r="F36"/>
      <c r="G36"/>
      <c r="H36"/>
      <c r="I36"/>
      <c r="J36"/>
      <c r="K36"/>
    </row>
    <row r="37" spans="1:11" ht="15">
      <c r="A37"/>
      <c r="B37"/>
      <c r="C37"/>
      <c r="D37"/>
      <c r="E37"/>
      <c r="F37"/>
      <c r="G37"/>
      <c r="H37"/>
      <c r="I37"/>
      <c r="J37"/>
      <c r="K37"/>
    </row>
    <row r="38" spans="1:11" ht="19.5">
      <c r="A38" s="1" t="s">
        <v>32</v>
      </c>
      <c r="B38"/>
      <c r="C38"/>
      <c r="D38"/>
      <c r="E38"/>
      <c r="F38"/>
      <c r="G38"/>
      <c r="H38"/>
      <c r="I38"/>
      <c r="J38"/>
      <c r="K38"/>
    </row>
    <row r="39" spans="1:11" ht="15">
      <c r="A39"/>
      <c r="B39"/>
      <c r="C39"/>
      <c r="D39"/>
      <c r="E39"/>
      <c r="F39"/>
      <c r="G39"/>
      <c r="H39"/>
      <c r="I39"/>
      <c r="J39"/>
      <c r="K39"/>
    </row>
    <row r="40" spans="1:11" ht="30">
      <c r="A40"/>
      <c r="B40" s="3" t="s">
        <v>33</v>
      </c>
      <c r="C40"/>
      <c r="D40"/>
      <c r="E40"/>
      <c r="F40"/>
      <c r="G40"/>
      <c r="H40"/>
      <c r="I40"/>
      <c r="J40"/>
      <c r="K40"/>
    </row>
    <row r="41" spans="1:11" ht="15">
      <c r="A41" s="8" t="s">
        <v>33</v>
      </c>
      <c r="B41" s="10">
        <f>VLOOKUP(Vlookup!B41,'CDCM Forecast Data'!$A$14:$I$271,8,FALSE)</f>
        <v>500</v>
      </c>
      <c r="C41" s="7" t="s">
        <v>224</v>
      </c>
      <c r="D41"/>
      <c r="E41"/>
      <c r="F41"/>
      <c r="G41"/>
      <c r="H41"/>
      <c r="I41"/>
      <c r="J41"/>
      <c r="K41"/>
    </row>
    <row r="42" spans="1:11" ht="15">
      <c r="A42"/>
      <c r="B42"/>
      <c r="C42"/>
      <c r="D42"/>
      <c r="E42"/>
      <c r="F42"/>
      <c r="G42"/>
      <c r="H42"/>
      <c r="I42"/>
      <c r="J42"/>
      <c r="K42"/>
    </row>
    <row r="43" spans="1:11" ht="19.5">
      <c r="A43" s="1" t="s">
        <v>34</v>
      </c>
      <c r="B43"/>
      <c r="C43"/>
      <c r="D43"/>
      <c r="E43"/>
      <c r="F43"/>
      <c r="G43"/>
      <c r="H43"/>
      <c r="I43"/>
      <c r="J43"/>
      <c r="K43"/>
    </row>
    <row r="44" spans="1:11" ht="15">
      <c r="A44"/>
      <c r="B44"/>
      <c r="C44"/>
      <c r="D44"/>
      <c r="E44"/>
      <c r="F44"/>
      <c r="G44"/>
      <c r="H44"/>
      <c r="I44"/>
      <c r="J44"/>
      <c r="K44"/>
    </row>
    <row r="45" spans="1:11" ht="15">
      <c r="A45"/>
      <c r="B45" s="3" t="s">
        <v>35</v>
      </c>
      <c r="C45"/>
      <c r="D45"/>
      <c r="E45"/>
      <c r="F45"/>
      <c r="G45"/>
      <c r="H45"/>
      <c r="I45"/>
      <c r="J45"/>
      <c r="K45"/>
    </row>
    <row r="46" spans="1:11" ht="15">
      <c r="A46" s="8" t="s">
        <v>23</v>
      </c>
      <c r="B46" s="10">
        <f>VLOOKUP(Vlookup!B46,'CDCM Forecast Data'!$A$14:$I$271,8,FALSE)</f>
        <v>129446685.70525438</v>
      </c>
      <c r="C46" s="7" t="s">
        <v>224</v>
      </c>
      <c r="D46"/>
      <c r="E46"/>
      <c r="F46"/>
      <c r="G46"/>
      <c r="H46"/>
      <c r="I46"/>
      <c r="J46"/>
      <c r="K46"/>
    </row>
    <row r="47" spans="1:11" ht="15">
      <c r="A47" s="8" t="s">
        <v>24</v>
      </c>
      <c r="B47" s="10">
        <f>VLOOKUP(Vlookup!B47,'CDCM Forecast Data'!$A$14:$I$271,8,FALSE)</f>
        <v>18334731.38274058</v>
      </c>
      <c r="C47" s="7" t="s">
        <v>224</v>
      </c>
      <c r="D47"/>
      <c r="E47"/>
      <c r="F47"/>
      <c r="G47"/>
      <c r="H47"/>
      <c r="I47"/>
      <c r="J47"/>
      <c r="K47"/>
    </row>
    <row r="48" spans="1:11" ht="15">
      <c r="A48" s="8" t="s">
        <v>25</v>
      </c>
      <c r="B48" s="10">
        <f>VLOOKUP(Vlookup!B48,'CDCM Forecast Data'!$A$14:$I$271,8,FALSE)</f>
        <v>46285973.903319672</v>
      </c>
      <c r="C48" s="7" t="s">
        <v>224</v>
      </c>
      <c r="D48"/>
      <c r="E48"/>
      <c r="F48"/>
      <c r="G48"/>
      <c r="H48"/>
      <c r="I48"/>
      <c r="J48"/>
      <c r="K48"/>
    </row>
    <row r="49" spans="1:11" ht="15">
      <c r="A49" s="8" t="s">
        <v>26</v>
      </c>
      <c r="B49" s="10">
        <f>VLOOKUP(Vlookup!B49,'CDCM Forecast Data'!$A$14:$I$271,8,FALSE)</f>
        <v>46519542.198987782</v>
      </c>
      <c r="C49" s="7" t="s">
        <v>224</v>
      </c>
      <c r="D49"/>
      <c r="E49"/>
      <c r="F49"/>
      <c r="G49"/>
      <c r="H49"/>
      <c r="I49"/>
      <c r="J49"/>
      <c r="K49"/>
    </row>
    <row r="50" spans="1:11" ht="15">
      <c r="A50" s="8" t="s">
        <v>31</v>
      </c>
      <c r="B50" s="10">
        <f>VLOOKUP(Vlookup!B50,'CDCM Forecast Data'!$A$14:$I$271,8,FALSE)</f>
        <v>0</v>
      </c>
      <c r="C50" s="7" t="s">
        <v>224</v>
      </c>
      <c r="D50"/>
      <c r="E50"/>
      <c r="F50"/>
      <c r="G50"/>
      <c r="H50"/>
      <c r="I50"/>
      <c r="J50"/>
      <c r="K50"/>
    </row>
    <row r="51" spans="1:11" ht="15">
      <c r="A51" s="8" t="s">
        <v>27</v>
      </c>
      <c r="B51" s="10">
        <f>VLOOKUP(Vlookup!B51,'CDCM Forecast Data'!$A$14:$I$271,8,FALSE)</f>
        <v>165675037.86455631</v>
      </c>
      <c r="C51" s="7" t="s">
        <v>224</v>
      </c>
      <c r="D51"/>
      <c r="E51"/>
      <c r="F51"/>
      <c r="G51"/>
      <c r="H51"/>
      <c r="I51"/>
      <c r="J51"/>
      <c r="K51"/>
    </row>
    <row r="52" spans="1:11" ht="15">
      <c r="A52" s="8" t="s">
        <v>28</v>
      </c>
      <c r="B52" s="10">
        <f>VLOOKUP(Vlookup!B52,'CDCM Forecast Data'!$A$14:$I$271,8,FALSE)</f>
        <v>70601229.320450813</v>
      </c>
      <c r="C52" s="7" t="s">
        <v>224</v>
      </c>
      <c r="D52"/>
      <c r="E52"/>
      <c r="F52"/>
      <c r="G52"/>
      <c r="H52"/>
      <c r="I52"/>
      <c r="J52"/>
      <c r="K52"/>
    </row>
    <row r="53" spans="1:11" ht="15">
      <c r="A53" s="8" t="s">
        <v>29</v>
      </c>
      <c r="B53" s="10">
        <f>VLOOKUP(Vlookup!B53,'CDCM Forecast Data'!$A$14:$I$271,8,FALSE)</f>
        <v>151632798.73342016</v>
      </c>
      <c r="C53" s="7" t="s">
        <v>224</v>
      </c>
      <c r="D53"/>
      <c r="E53"/>
      <c r="F53"/>
      <c r="G53"/>
      <c r="H53"/>
      <c r="I53"/>
      <c r="J53"/>
      <c r="K53"/>
    </row>
    <row r="54" spans="1:11" ht="15">
      <c r="A54"/>
      <c r="B54"/>
      <c r="C54"/>
      <c r="D54"/>
      <c r="E54"/>
      <c r="F54"/>
      <c r="G54"/>
      <c r="H54"/>
      <c r="I54"/>
      <c r="J54"/>
      <c r="K54"/>
    </row>
    <row r="55" spans="1:11" ht="19.5">
      <c r="A55" s="1" t="s">
        <v>36</v>
      </c>
      <c r="B55"/>
      <c r="C55"/>
      <c r="D55"/>
      <c r="E55"/>
      <c r="F55"/>
      <c r="G55"/>
      <c r="H55"/>
      <c r="I55"/>
      <c r="J55"/>
      <c r="K55"/>
    </row>
    <row r="56" spans="1:11" ht="15">
      <c r="A56"/>
      <c r="B56"/>
      <c r="C56"/>
      <c r="D56"/>
      <c r="E56"/>
      <c r="F56"/>
      <c r="G56"/>
      <c r="H56"/>
      <c r="I56"/>
      <c r="J56"/>
      <c r="K56"/>
    </row>
    <row r="57" spans="1:11" ht="15">
      <c r="A57"/>
      <c r="B57" s="3" t="s">
        <v>37</v>
      </c>
      <c r="C57" s="3" t="s">
        <v>38</v>
      </c>
      <c r="D57" s="3" t="s">
        <v>39</v>
      </c>
      <c r="E57" s="3" t="s">
        <v>40</v>
      </c>
      <c r="F57" s="3" t="s">
        <v>41</v>
      </c>
      <c r="G57" s="3" t="s">
        <v>42</v>
      </c>
      <c r="H57" s="3" t="s">
        <v>43</v>
      </c>
      <c r="I57" s="3" t="s">
        <v>44</v>
      </c>
      <c r="J57"/>
      <c r="K57"/>
    </row>
    <row r="58" spans="1:11" ht="15">
      <c r="A58" s="8" t="s">
        <v>45</v>
      </c>
      <c r="B58" s="10">
        <f>VLOOKUP(Vlookup!B58,'CDCM Forecast Data'!$A$14:$I$271,8,FALSE)</f>
        <v>5931.1489874485987</v>
      </c>
      <c r="C58" s="10">
        <f>VLOOKUP(Vlookup!C58,'CDCM Forecast Data'!$A$14:$I$271,8,FALSE)</f>
        <v>667.1949621073303</v>
      </c>
      <c r="D58" s="10">
        <f>VLOOKUP(Vlookup!D58,'CDCM Forecast Data'!$A$14:$I$271,8,FALSE)</f>
        <v>812.30511295538997</v>
      </c>
      <c r="E58" s="10">
        <f>VLOOKUP(Vlookup!E58,'CDCM Forecast Data'!$A$14:$I$271,8,FALSE)</f>
        <v>602.42169141273951</v>
      </c>
      <c r="F58" s="10">
        <f>VLOOKUP(Vlookup!F58,'CDCM Forecast Data'!$A$14:$I$271,8,FALSE)</f>
        <v>1369.4385692352748</v>
      </c>
      <c r="G58" s="10">
        <f>VLOOKUP(Vlookup!G58,'CDCM Forecast Data'!$A$14:$I$271,8,FALSE)</f>
        <v>1054.759511242599</v>
      </c>
      <c r="H58" s="10">
        <f>VLOOKUP(Vlookup!H58,'CDCM Forecast Data'!$A$14:$I$271,8,FALSE)</f>
        <v>0</v>
      </c>
      <c r="I58" s="10">
        <f>VLOOKUP(Vlookup!I58,'CDCM Forecast Data'!$A$14:$I$271,8,FALSE)</f>
        <v>551.64537808538455</v>
      </c>
      <c r="J58" s="7" t="s">
        <v>224</v>
      </c>
      <c r="K58"/>
    </row>
    <row r="59" spans="1:11" ht="15">
      <c r="A59"/>
      <c r="B59"/>
      <c r="C59"/>
      <c r="D59"/>
      <c r="E59"/>
      <c r="F59"/>
      <c r="G59"/>
      <c r="H59"/>
      <c r="I59"/>
      <c r="J59"/>
      <c r="K59"/>
    </row>
    <row r="60" spans="1:11" ht="19.5">
      <c r="A60" s="1" t="s">
        <v>46</v>
      </c>
      <c r="B60"/>
      <c r="C60"/>
      <c r="D60"/>
      <c r="E60"/>
      <c r="F60"/>
      <c r="G60"/>
      <c r="H60"/>
      <c r="I60"/>
      <c r="J60"/>
      <c r="K60"/>
    </row>
    <row r="61" spans="1:11" ht="15">
      <c r="A61"/>
      <c r="B61"/>
      <c r="C61"/>
      <c r="D61"/>
      <c r="E61"/>
      <c r="F61"/>
      <c r="G61"/>
      <c r="H61"/>
      <c r="I61"/>
      <c r="J61"/>
      <c r="K61"/>
    </row>
    <row r="62" spans="1:11" ht="15">
      <c r="A62"/>
      <c r="B62" s="3" t="s">
        <v>47</v>
      </c>
      <c r="C62" s="3" t="s">
        <v>48</v>
      </c>
      <c r="D62" s="3" t="s">
        <v>49</v>
      </c>
      <c r="E62" s="3" t="s">
        <v>50</v>
      </c>
      <c r="F62" s="3" t="s">
        <v>51</v>
      </c>
      <c r="G62"/>
      <c r="H62"/>
      <c r="I62"/>
      <c r="J62"/>
      <c r="K62"/>
    </row>
    <row r="63" spans="1:11" ht="15">
      <c r="A63" s="8" t="s">
        <v>52</v>
      </c>
      <c r="B63" s="10">
        <f>VLOOKUP(Vlookup!B63,'CDCM Forecast Data'!$A$14:$I$271,8,FALSE)</f>
        <v>10464.43825850756</v>
      </c>
      <c r="C63" s="10">
        <f>VLOOKUP(Vlookup!C63,'CDCM Forecast Data'!$A$14:$I$271,8,FALSE)</f>
        <v>5045.2591849234914</v>
      </c>
      <c r="D63" s="10">
        <f>VLOOKUP(Vlookup!D63,'CDCM Forecast Data'!$A$14:$I$271,8,FALSE)</f>
        <v>0</v>
      </c>
      <c r="E63" s="10">
        <f>VLOOKUP(Vlookup!E63,'CDCM Forecast Data'!$A$14:$I$271,8,FALSE)</f>
        <v>0</v>
      </c>
      <c r="F63" s="10">
        <f>VLOOKUP(Vlookup!F63,'CDCM Forecast Data'!$A$14:$I$271,8,FALSE)</f>
        <v>0</v>
      </c>
      <c r="G63" s="7" t="s">
        <v>224</v>
      </c>
      <c r="H63"/>
      <c r="I63"/>
      <c r="J63"/>
      <c r="K63"/>
    </row>
    <row r="64" spans="1:11" ht="15">
      <c r="A64"/>
      <c r="B64"/>
      <c r="C64"/>
      <c r="D64"/>
      <c r="E64"/>
      <c r="F64"/>
      <c r="G64"/>
      <c r="H64"/>
      <c r="I64"/>
      <c r="J64"/>
      <c r="K64"/>
    </row>
    <row r="65" spans="1:11" ht="19.5">
      <c r="A65" s="1" t="s">
        <v>53</v>
      </c>
      <c r="B65"/>
      <c r="C65"/>
      <c r="D65"/>
      <c r="E65"/>
      <c r="F65"/>
      <c r="G65"/>
      <c r="H65"/>
      <c r="I65"/>
      <c r="J65"/>
      <c r="K65"/>
    </row>
    <row r="66" spans="1:11" ht="15">
      <c r="A66"/>
      <c r="B66">
        <v>26</v>
      </c>
      <c r="C66">
        <f t="shared" ref="C66:I66" si="0">B66+1</f>
        <v>27</v>
      </c>
      <c r="D66">
        <f t="shared" si="0"/>
        <v>28</v>
      </c>
      <c r="E66">
        <f t="shared" si="0"/>
        <v>29</v>
      </c>
      <c r="F66">
        <f t="shared" si="0"/>
        <v>30</v>
      </c>
      <c r="G66">
        <f t="shared" si="0"/>
        <v>31</v>
      </c>
      <c r="H66">
        <f t="shared" si="0"/>
        <v>32</v>
      </c>
      <c r="I66">
        <f t="shared" si="0"/>
        <v>33</v>
      </c>
      <c r="J66"/>
      <c r="K66"/>
    </row>
    <row r="67" spans="1:11" ht="15">
      <c r="A67"/>
      <c r="B67" s="3" t="s">
        <v>37</v>
      </c>
      <c r="C67" s="3" t="s">
        <v>38</v>
      </c>
      <c r="D67" s="3" t="s">
        <v>39</v>
      </c>
      <c r="E67" s="3" t="s">
        <v>40</v>
      </c>
      <c r="F67" s="3" t="s">
        <v>41</v>
      </c>
      <c r="G67" s="3" t="s">
        <v>42</v>
      </c>
      <c r="H67" s="3" t="s">
        <v>43</v>
      </c>
      <c r="I67" s="3" t="s">
        <v>44</v>
      </c>
      <c r="J67"/>
      <c r="K67"/>
    </row>
    <row r="68" spans="1:11" ht="15">
      <c r="A68" s="8" t="s">
        <v>54</v>
      </c>
      <c r="B68" s="11">
        <f>VLOOKUP($A68,'Mat of App'!$B$7:$AP$43,B$66,FALSE)</f>
        <v>0.05</v>
      </c>
      <c r="C68" s="11">
        <f>VLOOKUP($A68,'Mat of App'!$B$7:$AP$43,C$66,FALSE)</f>
        <v>0</v>
      </c>
      <c r="D68" s="11">
        <f>VLOOKUP($A68,'Mat of App'!$B$7:$AP$43,D$66,FALSE)</f>
        <v>0</v>
      </c>
      <c r="E68" s="11">
        <f>VLOOKUP($A68,'Mat of App'!$B$7:$AP$43,E$66,FALSE)</f>
        <v>0</v>
      </c>
      <c r="F68" s="11">
        <f>VLOOKUP($A68,'Mat of App'!$B$7:$AP$43,F$66,FALSE)</f>
        <v>0</v>
      </c>
      <c r="G68" s="11">
        <f>VLOOKUP($A68,'Mat of App'!$B$7:$AP$43,G$66,FALSE)</f>
        <v>0</v>
      </c>
      <c r="H68" s="11">
        <f>VLOOKUP($A68,'Mat of App'!$B$7:$AP$43,H$66,FALSE)</f>
        <v>0</v>
      </c>
      <c r="I68" s="11">
        <f>VLOOKUP($A68,'Mat of App'!$B$7:$AP$43,I$66,FALSE)</f>
        <v>0</v>
      </c>
      <c r="J68" s="7" t="s">
        <v>224</v>
      </c>
      <c r="K68"/>
    </row>
    <row r="69" spans="1:11" ht="15">
      <c r="A69" s="8" t="s">
        <v>55</v>
      </c>
      <c r="B69" s="11">
        <f>VLOOKUP($A69,'Mat of App'!$B$7:$AP$43,B$66,FALSE)</f>
        <v>0.05</v>
      </c>
      <c r="C69" s="11">
        <f>VLOOKUP($A69,'Mat of App'!$B$7:$AP$43,C$66,FALSE)</f>
        <v>0</v>
      </c>
      <c r="D69" s="11">
        <f>VLOOKUP($A69,'Mat of App'!$B$7:$AP$43,D$66,FALSE)</f>
        <v>0</v>
      </c>
      <c r="E69" s="11">
        <f>VLOOKUP($A69,'Mat of App'!$B$7:$AP$43,E$66,FALSE)</f>
        <v>0</v>
      </c>
      <c r="F69" s="11">
        <f>VLOOKUP($A69,'Mat of App'!$B$7:$AP$43,F$66,FALSE)</f>
        <v>0</v>
      </c>
      <c r="G69" s="11">
        <f>VLOOKUP($A69,'Mat of App'!$B$7:$AP$43,G$66,FALSE)</f>
        <v>0</v>
      </c>
      <c r="H69" s="11">
        <f>VLOOKUP($A69,'Mat of App'!$B$7:$AP$43,H$66,FALSE)</f>
        <v>0</v>
      </c>
      <c r="I69" s="11">
        <f>VLOOKUP($A69,'Mat of App'!$B$7:$AP$43,I$66,FALSE)</f>
        <v>0</v>
      </c>
      <c r="J69" s="7" t="s">
        <v>224</v>
      </c>
      <c r="K69"/>
    </row>
    <row r="70" spans="1:11" ht="15">
      <c r="A70" s="8" t="s">
        <v>56</v>
      </c>
      <c r="B70" s="11">
        <f>VLOOKUP($A70,'Mat of App'!$B$7:$AP$43,B$66,FALSE)</f>
        <v>0</v>
      </c>
      <c r="C70" s="11">
        <f>VLOOKUP($A70,'Mat of App'!$B$7:$AP$43,C$66,FALSE)</f>
        <v>1</v>
      </c>
      <c r="D70" s="11">
        <f>VLOOKUP($A70,'Mat of App'!$B$7:$AP$43,D$66,FALSE)</f>
        <v>0</v>
      </c>
      <c r="E70" s="11">
        <f>VLOOKUP($A70,'Mat of App'!$B$7:$AP$43,E$66,FALSE)</f>
        <v>0</v>
      </c>
      <c r="F70" s="11">
        <f>VLOOKUP($A70,'Mat of App'!$B$7:$AP$43,F$66,FALSE)</f>
        <v>0</v>
      </c>
      <c r="G70" s="11">
        <f>VLOOKUP($A70,'Mat of App'!$B$7:$AP$43,G$66,FALSE)</f>
        <v>0</v>
      </c>
      <c r="H70" s="11">
        <f>VLOOKUP($A70,'Mat of App'!$B$7:$AP$43,H$66,FALSE)</f>
        <v>0</v>
      </c>
      <c r="I70" s="11">
        <f>VLOOKUP($A70,'Mat of App'!$B$7:$AP$43,I$66,FALSE)</f>
        <v>0</v>
      </c>
      <c r="J70" s="7" t="s">
        <v>224</v>
      </c>
      <c r="K70"/>
    </row>
    <row r="71" spans="1:11" ht="15">
      <c r="A71" s="8" t="s">
        <v>57</v>
      </c>
      <c r="B71" s="11">
        <f>VLOOKUP($A71,'Mat of App'!$B$7:$AP$43,B$66,FALSE)</f>
        <v>0</v>
      </c>
      <c r="C71" s="11">
        <f>VLOOKUP($A71,'Mat of App'!$B$7:$AP$43,C$66,FALSE)</f>
        <v>1</v>
      </c>
      <c r="D71" s="11">
        <f>VLOOKUP($A71,'Mat of App'!$B$7:$AP$43,D$66,FALSE)</f>
        <v>0</v>
      </c>
      <c r="E71" s="11">
        <f>VLOOKUP($A71,'Mat of App'!$B$7:$AP$43,E$66,FALSE)</f>
        <v>0</v>
      </c>
      <c r="F71" s="11">
        <f>VLOOKUP($A71,'Mat of App'!$B$7:$AP$43,F$66,FALSE)</f>
        <v>0</v>
      </c>
      <c r="G71" s="11">
        <f>VLOOKUP($A71,'Mat of App'!$B$7:$AP$43,G$66,FALSE)</f>
        <v>0</v>
      </c>
      <c r="H71" s="11">
        <f>VLOOKUP($A71,'Mat of App'!$B$7:$AP$43,H$66,FALSE)</f>
        <v>0</v>
      </c>
      <c r="I71" s="11">
        <f>VLOOKUP($A71,'Mat of App'!$B$7:$AP$43,I$66,FALSE)</f>
        <v>0</v>
      </c>
      <c r="J71" s="7" t="s">
        <v>224</v>
      </c>
      <c r="K71"/>
    </row>
    <row r="72" spans="1:11" ht="15">
      <c r="A72" s="8" t="s">
        <v>58</v>
      </c>
      <c r="B72" s="11">
        <f>VLOOKUP($A72,'Mat of App'!$B$7:$AP$43,B$66,FALSE)</f>
        <v>0</v>
      </c>
      <c r="C72" s="11">
        <f>VLOOKUP($A72,'Mat of App'!$B$7:$AP$43,C$66,FALSE)</f>
        <v>0</v>
      </c>
      <c r="D72" s="11">
        <f>VLOOKUP($A72,'Mat of App'!$B$7:$AP$43,D$66,FALSE)</f>
        <v>1</v>
      </c>
      <c r="E72" s="11">
        <f>VLOOKUP($A72,'Mat of App'!$B$7:$AP$43,E$66,FALSE)</f>
        <v>0</v>
      </c>
      <c r="F72" s="11">
        <f>VLOOKUP($A72,'Mat of App'!$B$7:$AP$43,F$66,FALSE)</f>
        <v>0</v>
      </c>
      <c r="G72" s="11">
        <f>VLOOKUP($A72,'Mat of App'!$B$7:$AP$43,G$66,FALSE)</f>
        <v>0</v>
      </c>
      <c r="H72" s="11">
        <f>VLOOKUP($A72,'Mat of App'!$B$7:$AP$43,H$66,FALSE)</f>
        <v>0</v>
      </c>
      <c r="I72" s="11">
        <f>VLOOKUP($A72,'Mat of App'!$B$7:$AP$43,I$66,FALSE)</f>
        <v>0</v>
      </c>
      <c r="J72" s="7"/>
      <c r="K72"/>
    </row>
    <row r="73" spans="1:11" ht="15">
      <c r="A73" s="8" t="s">
        <v>59</v>
      </c>
      <c r="B73" s="11">
        <f>VLOOKUP($A73,'Mat of App'!$B$7:$AP$43,B$66,FALSE)</f>
        <v>0</v>
      </c>
      <c r="C73" s="11">
        <f>VLOOKUP($A73,'Mat of App'!$B$7:$AP$43,C$66,FALSE)</f>
        <v>0</v>
      </c>
      <c r="D73" s="11">
        <f>VLOOKUP($A73,'Mat of App'!$B$7:$AP$43,D$66,FALSE)</f>
        <v>0</v>
      </c>
      <c r="E73" s="11">
        <f>VLOOKUP($A73,'Mat of App'!$B$7:$AP$43,E$66,FALSE)</f>
        <v>1</v>
      </c>
      <c r="F73" s="11">
        <f>VLOOKUP($A73,'Mat of App'!$B$7:$AP$43,F$66,FALSE)</f>
        <v>0</v>
      </c>
      <c r="G73" s="11">
        <f>VLOOKUP($A73,'Mat of App'!$B$7:$AP$43,G$66,FALSE)</f>
        <v>0</v>
      </c>
      <c r="H73" s="11">
        <f>VLOOKUP($A73,'Mat of App'!$B$7:$AP$43,H$66,FALSE)</f>
        <v>0</v>
      </c>
      <c r="I73" s="11">
        <f>VLOOKUP($A73,'Mat of App'!$B$7:$AP$43,I$66,FALSE)</f>
        <v>0</v>
      </c>
      <c r="J73" s="7"/>
      <c r="K73"/>
    </row>
    <row r="74" spans="1:11" ht="15">
      <c r="A74" s="8" t="s">
        <v>1178</v>
      </c>
      <c r="B74" s="11">
        <f>VLOOKUP($A74,'Mat of App'!$B$7:$AP$43,B$66,FALSE)</f>
        <v>0.05</v>
      </c>
      <c r="C74" s="11">
        <f>VLOOKUP($A74,'Mat of App'!$B$7:$AP$43,C$66,FALSE)</f>
        <v>0</v>
      </c>
      <c r="D74" s="11">
        <f>VLOOKUP($A74,'Mat of App'!$B$7:$AP$43,D$66,FALSE)</f>
        <v>0</v>
      </c>
      <c r="E74" s="11">
        <f>VLOOKUP($A74,'Mat of App'!$B$7:$AP$43,E$66,FALSE)</f>
        <v>0</v>
      </c>
      <c r="F74" s="11">
        <f>VLOOKUP($A74,'Mat of App'!$B$7:$AP$43,F$66,FALSE)</f>
        <v>0</v>
      </c>
      <c r="G74" s="11">
        <f>VLOOKUP($A74,'Mat of App'!$B$7:$AP$43,G$66,FALSE)</f>
        <v>0</v>
      </c>
      <c r="H74" s="11">
        <f>VLOOKUP($A74,'Mat of App'!$B$7:$AP$43,H$66,FALSE)</f>
        <v>0</v>
      </c>
      <c r="I74" s="11">
        <f>VLOOKUP($A74,'Mat of App'!$B$7:$AP$43,I$66,FALSE)</f>
        <v>0</v>
      </c>
      <c r="J74" s="7" t="s">
        <v>224</v>
      </c>
      <c r="K74"/>
    </row>
    <row r="75" spans="1:11" ht="15">
      <c r="A75" s="8" t="s">
        <v>1177</v>
      </c>
      <c r="B75" s="11">
        <f>VLOOKUP($A75,'Mat of App'!$B$7:$AP$43,B$66,FALSE)</f>
        <v>0</v>
      </c>
      <c r="C75" s="11">
        <f>VLOOKUP($A75,'Mat of App'!$B$7:$AP$43,C$66,FALSE)</f>
        <v>1</v>
      </c>
      <c r="D75" s="11">
        <f>VLOOKUP($A75,'Mat of App'!$B$7:$AP$43,D$66,FALSE)</f>
        <v>0</v>
      </c>
      <c r="E75" s="11">
        <f>VLOOKUP($A75,'Mat of App'!$B$7:$AP$43,E$66,FALSE)</f>
        <v>0</v>
      </c>
      <c r="F75" s="11">
        <f>VLOOKUP($A75,'Mat of App'!$B$7:$AP$43,F$66,FALSE)</f>
        <v>0</v>
      </c>
      <c r="G75" s="11">
        <f>VLOOKUP($A75,'Mat of App'!$B$7:$AP$43,G$66,FALSE)</f>
        <v>0</v>
      </c>
      <c r="H75" s="11">
        <f>VLOOKUP($A75,'Mat of App'!$B$7:$AP$43,H$66,FALSE)</f>
        <v>0</v>
      </c>
      <c r="I75" s="11">
        <f>VLOOKUP($A75,'Mat of App'!$B$7:$AP$43,I$66,FALSE)</f>
        <v>0</v>
      </c>
      <c r="J75" s="7" t="s">
        <v>224</v>
      </c>
      <c r="K75"/>
    </row>
    <row r="76" spans="1:11" ht="15">
      <c r="A76" s="8" t="s">
        <v>60</v>
      </c>
      <c r="B76" s="11">
        <f>VLOOKUP($A76,'Mat of App'!$B$7:$AP$43,B$66,FALSE)</f>
        <v>0</v>
      </c>
      <c r="C76" s="11">
        <f>VLOOKUP($A76,'Mat of App'!$B$7:$AP$43,C$66,FALSE)</f>
        <v>0</v>
      </c>
      <c r="D76" s="11">
        <f>VLOOKUP($A76,'Mat of App'!$B$7:$AP$43,D$66,FALSE)</f>
        <v>0</v>
      </c>
      <c r="E76" s="11">
        <f>VLOOKUP($A76,'Mat of App'!$B$7:$AP$43,E$66,FALSE)</f>
        <v>0</v>
      </c>
      <c r="F76" s="11">
        <f>VLOOKUP($A76,'Mat of App'!$B$7:$AP$43,F$66,FALSE)</f>
        <v>1</v>
      </c>
      <c r="G76" s="11">
        <f>VLOOKUP($A76,'Mat of App'!$B$7:$AP$43,G$66,FALSE)</f>
        <v>0</v>
      </c>
      <c r="H76" s="11">
        <f>VLOOKUP($A76,'Mat of App'!$B$7:$AP$43,H$66,FALSE)</f>
        <v>0</v>
      </c>
      <c r="I76" s="11">
        <f>VLOOKUP($A76,'Mat of App'!$B$7:$AP$43,I$66,FALSE)</f>
        <v>0</v>
      </c>
      <c r="J76" s="7" t="s">
        <v>224</v>
      </c>
      <c r="K76"/>
    </row>
    <row r="77" spans="1:11" ht="15">
      <c r="A77" s="8" t="s">
        <v>61</v>
      </c>
      <c r="B77" s="11">
        <f>VLOOKUP($A77,'Mat of App'!$B$7:$AP$43,B$66,FALSE)</f>
        <v>0</v>
      </c>
      <c r="C77" s="11">
        <f>VLOOKUP($A77,'Mat of App'!$B$7:$AP$43,C$66,FALSE)</f>
        <v>0</v>
      </c>
      <c r="D77" s="11">
        <f>VLOOKUP($A77,'Mat of App'!$B$7:$AP$43,D$66,FALSE)</f>
        <v>0</v>
      </c>
      <c r="E77" s="11">
        <f>VLOOKUP($A77,'Mat of App'!$B$7:$AP$43,E$66,FALSE)</f>
        <v>0</v>
      </c>
      <c r="F77" s="11">
        <f>VLOOKUP($A77,'Mat of App'!$B$7:$AP$43,F$66,FALSE)</f>
        <v>0</v>
      </c>
      <c r="G77" s="11">
        <f>VLOOKUP($A77,'Mat of App'!$B$7:$AP$43,G$66,FALSE)</f>
        <v>1</v>
      </c>
      <c r="H77" s="11">
        <f>VLOOKUP($A77,'Mat of App'!$B$7:$AP$43,H$66,FALSE)</f>
        <v>0</v>
      </c>
      <c r="I77" s="11">
        <f>VLOOKUP($A77,'Mat of App'!$B$7:$AP$43,I$66,FALSE)</f>
        <v>0</v>
      </c>
      <c r="J77" s="7" t="s">
        <v>224</v>
      </c>
      <c r="K77"/>
    </row>
    <row r="78" spans="1:11" ht="15">
      <c r="A78" s="285" t="s">
        <v>1176</v>
      </c>
      <c r="B78" s="11">
        <f>VLOOKUP($A78,'Mat of App'!$B$7:$AP$43,B$66,FALSE)</f>
        <v>0</v>
      </c>
      <c r="C78" s="11">
        <f>VLOOKUP($A78,'Mat of App'!$B$7:$AP$43,C$66,FALSE)</f>
        <v>0</v>
      </c>
      <c r="D78" s="11">
        <f>VLOOKUP($A78,'Mat of App'!$B$7:$AP$43,D$66,FALSE)</f>
        <v>0</v>
      </c>
      <c r="E78" s="11">
        <f>VLOOKUP($A78,'Mat of App'!$B$7:$AP$43,E$66,FALSE)</f>
        <v>0</v>
      </c>
      <c r="F78" s="11">
        <f>VLOOKUP($A78,'Mat of App'!$B$7:$AP$43,F$66,FALSE)</f>
        <v>0</v>
      </c>
      <c r="G78" s="11">
        <f>VLOOKUP($A78,'Mat of App'!$B$7:$AP$43,G$66,FALSE)</f>
        <v>0</v>
      </c>
      <c r="H78" s="11">
        <f>VLOOKUP($A78,'Mat of App'!$B$7:$AP$43,H$66,FALSE)</f>
        <v>1</v>
      </c>
      <c r="I78" s="11">
        <f>VLOOKUP($A78,'Mat of App'!$B$7:$AP$43,I$66,FALSE)</f>
        <v>0</v>
      </c>
      <c r="J78" s="7" t="s">
        <v>224</v>
      </c>
      <c r="K78"/>
    </row>
    <row r="79" spans="1:11" ht="15">
      <c r="A79" s="285" t="s">
        <v>62</v>
      </c>
      <c r="B79" s="11">
        <f>VLOOKUP($A79,'Mat of App'!$B$7:$AP$43,B$66,FALSE)</f>
        <v>0</v>
      </c>
      <c r="C79" s="11">
        <f>VLOOKUP($A79,'Mat of App'!$B$7:$AP$43,C$66,FALSE)</f>
        <v>0</v>
      </c>
      <c r="D79" s="11">
        <f>VLOOKUP($A79,'Mat of App'!$B$7:$AP$43,D$66,FALSE)</f>
        <v>0</v>
      </c>
      <c r="E79" s="11">
        <f>VLOOKUP($A79,'Mat of App'!$B$7:$AP$43,E$66,FALSE)</f>
        <v>0</v>
      </c>
      <c r="F79" s="11">
        <f>VLOOKUP($A79,'Mat of App'!$B$7:$AP$43,F$66,FALSE)</f>
        <v>0</v>
      </c>
      <c r="G79" s="11">
        <f>VLOOKUP($A79,'Mat of App'!$B$7:$AP$43,G$66,FALSE)</f>
        <v>0</v>
      </c>
      <c r="H79" s="11">
        <f>VLOOKUP($A79,'Mat of App'!$B$7:$AP$43,H$66,FALSE)</f>
        <v>1</v>
      </c>
      <c r="I79" s="11">
        <f>VLOOKUP($A79,'Mat of App'!$B$7:$AP$43,I$66,FALSE)</f>
        <v>0</v>
      </c>
      <c r="J79" s="7" t="s">
        <v>224</v>
      </c>
      <c r="K79"/>
    </row>
    <row r="80" spans="1:11" ht="15">
      <c r="A80" s="285" t="s">
        <v>63</v>
      </c>
      <c r="B80" s="11">
        <f>VLOOKUP($A80,'Mat of App'!$B$7:$AP$43,B$66,FALSE)</f>
        <v>0</v>
      </c>
      <c r="C80" s="11">
        <f>VLOOKUP($A80,'Mat of App'!$B$7:$AP$43,C$66,FALSE)</f>
        <v>0</v>
      </c>
      <c r="D80" s="11">
        <f>VLOOKUP($A80,'Mat of App'!$B$7:$AP$43,D$66,FALSE)</f>
        <v>0</v>
      </c>
      <c r="E80" s="11">
        <f>VLOOKUP($A80,'Mat of App'!$B$7:$AP$43,E$66,FALSE)</f>
        <v>0</v>
      </c>
      <c r="F80" s="11">
        <f>VLOOKUP($A80,'Mat of App'!$B$7:$AP$43,F$66,FALSE)</f>
        <v>0</v>
      </c>
      <c r="G80" s="11">
        <f>VLOOKUP($A80,'Mat of App'!$B$7:$AP$43,G$66,FALSE)</f>
        <v>0</v>
      </c>
      <c r="H80" s="11">
        <f>VLOOKUP($A80,'Mat of App'!$B$7:$AP$43,H$66,FALSE)</f>
        <v>1</v>
      </c>
      <c r="I80" s="11">
        <f>VLOOKUP($A80,'Mat of App'!$B$7:$AP$43,I$66,FALSE)</f>
        <v>0</v>
      </c>
      <c r="J80" s="7" t="s">
        <v>224</v>
      </c>
      <c r="K80"/>
    </row>
    <row r="81" spans="1:11" ht="15">
      <c r="A81" s="285" t="s">
        <v>1516</v>
      </c>
      <c r="B81" s="11">
        <f>VLOOKUP($A81,'Mat of App'!$B$7:$AP$43,B$66,FALSE)</f>
        <v>0</v>
      </c>
      <c r="C81" s="11">
        <f>VLOOKUP($A81,'Mat of App'!$B$7:$AP$43,C$66,FALSE)</f>
        <v>0</v>
      </c>
      <c r="D81" s="11">
        <f>VLOOKUP($A81,'Mat of App'!$B$7:$AP$43,D$66,FALSE)</f>
        <v>0</v>
      </c>
      <c r="E81" s="11">
        <f>VLOOKUP($A81,'Mat of App'!$B$7:$AP$43,E$66,FALSE)</f>
        <v>0</v>
      </c>
      <c r="F81" s="11">
        <f>VLOOKUP($A81,'Mat of App'!$B$7:$AP$43,F$66,FALSE)</f>
        <v>0</v>
      </c>
      <c r="G81" s="11">
        <f>VLOOKUP($A81,'Mat of App'!$B$7:$AP$43,G$66,FALSE)</f>
        <v>0</v>
      </c>
      <c r="H81" s="11">
        <f>VLOOKUP($A81,'Mat of App'!$B$7:$AP$43,H$66,FALSE)</f>
        <v>1</v>
      </c>
      <c r="I81" s="11">
        <f>VLOOKUP($A81,'Mat of App'!$B$7:$AP$43,I$66,FALSE)</f>
        <v>0</v>
      </c>
      <c r="J81" s="7" t="s">
        <v>224</v>
      </c>
      <c r="K81"/>
    </row>
    <row r="82" spans="1:11" ht="15">
      <c r="A82" s="285" t="s">
        <v>64</v>
      </c>
      <c r="B82" s="11">
        <f>VLOOKUP($A82,'Mat of App'!$B$7:$AP$43,B$66,FALSE)</f>
        <v>0</v>
      </c>
      <c r="C82" s="11">
        <f>VLOOKUP($A82,'Mat of App'!$B$7:$AP$43,C$66,FALSE)</f>
        <v>0</v>
      </c>
      <c r="D82" s="11">
        <f>VLOOKUP($A82,'Mat of App'!$B$7:$AP$43,D$66,FALSE)</f>
        <v>0</v>
      </c>
      <c r="E82" s="11">
        <f>VLOOKUP($A82,'Mat of App'!$B$7:$AP$43,E$66,FALSE)</f>
        <v>0</v>
      </c>
      <c r="F82" s="11">
        <f>VLOOKUP($A82,'Mat of App'!$B$7:$AP$43,F$66,FALSE)</f>
        <v>0</v>
      </c>
      <c r="G82" s="11">
        <f>VLOOKUP($A82,'Mat of App'!$B$7:$AP$43,G$66,FALSE)</f>
        <v>0</v>
      </c>
      <c r="H82" s="11">
        <f>VLOOKUP($A82,'Mat of App'!$B$7:$AP$43,H$66,FALSE)</f>
        <v>0</v>
      </c>
      <c r="I82" s="11">
        <f>VLOOKUP($A82,'Mat of App'!$B$7:$AP$43,I$66,FALSE)</f>
        <v>0</v>
      </c>
      <c r="J82" s="7" t="s">
        <v>224</v>
      </c>
      <c r="K82"/>
    </row>
    <row r="83" spans="1:11" ht="15">
      <c r="A83" s="285" t="s">
        <v>1517</v>
      </c>
      <c r="B83" s="11">
        <f>VLOOKUP($A83,'Mat of App'!$B$7:$AP$43,B$66,FALSE)</f>
        <v>0</v>
      </c>
      <c r="C83" s="11">
        <f>VLOOKUP($A83,'Mat of App'!$B$7:$AP$43,C$66,FALSE)</f>
        <v>0</v>
      </c>
      <c r="D83" s="11">
        <f>VLOOKUP($A83,'Mat of App'!$B$7:$AP$43,D$66,FALSE)</f>
        <v>0</v>
      </c>
      <c r="E83" s="11">
        <f>VLOOKUP($A83,'Mat of App'!$B$7:$AP$43,E$66,FALSE)</f>
        <v>0</v>
      </c>
      <c r="F83" s="11">
        <f>VLOOKUP($A83,'Mat of App'!$B$7:$AP$43,F$66,FALSE)</f>
        <v>0</v>
      </c>
      <c r="G83" s="11">
        <f>VLOOKUP($A83,'Mat of App'!$B$7:$AP$43,G$66,FALSE)</f>
        <v>0</v>
      </c>
      <c r="H83" s="11">
        <f>VLOOKUP($A83,'Mat of App'!$B$7:$AP$43,H$66,FALSE)</f>
        <v>0</v>
      </c>
      <c r="I83" s="11">
        <f>VLOOKUP($A83,'Mat of App'!$B$7:$AP$43,I$66,FALSE)</f>
        <v>0</v>
      </c>
      <c r="J83" s="7"/>
      <c r="K83"/>
    </row>
    <row r="84" spans="1:11" ht="15">
      <c r="A84" s="285" t="s">
        <v>65</v>
      </c>
      <c r="B84" s="11">
        <f>VLOOKUP($A84,'Mat of App'!$B$7:$AP$43,B$66,FALSE)</f>
        <v>0</v>
      </c>
      <c r="C84" s="11">
        <f>VLOOKUP($A84,'Mat of App'!$B$7:$AP$43,C$66,FALSE)</f>
        <v>0</v>
      </c>
      <c r="D84" s="11">
        <f>VLOOKUP($A84,'Mat of App'!$B$7:$AP$43,D$66,FALSE)</f>
        <v>0</v>
      </c>
      <c r="E84" s="11">
        <f>VLOOKUP($A84,'Mat of App'!$B$7:$AP$43,E$66,FALSE)</f>
        <v>0</v>
      </c>
      <c r="F84" s="11">
        <f>VLOOKUP($A84,'Mat of App'!$B$7:$AP$43,F$66,FALSE)</f>
        <v>0</v>
      </c>
      <c r="G84" s="11">
        <f>VLOOKUP($A84,'Mat of App'!$B$7:$AP$43,G$66,FALSE)</f>
        <v>0</v>
      </c>
      <c r="H84" s="11">
        <f>VLOOKUP($A84,'Mat of App'!$B$7:$AP$43,H$66,FALSE)</f>
        <v>0</v>
      </c>
      <c r="I84" s="11">
        <f>VLOOKUP($A84,'Mat of App'!$B$7:$AP$43,I$66,FALSE)</f>
        <v>0</v>
      </c>
      <c r="J84" s="7"/>
      <c r="K84"/>
    </row>
    <row r="85" spans="1:11" ht="15">
      <c r="A85" s="285" t="s">
        <v>1518</v>
      </c>
      <c r="B85" s="11">
        <f>VLOOKUP($A85,'Mat of App'!$B$7:$AP$43,B$66,FALSE)</f>
        <v>0</v>
      </c>
      <c r="C85" s="11">
        <f>VLOOKUP($A85,'Mat of App'!$B$7:$AP$43,C$66,FALSE)</f>
        <v>0</v>
      </c>
      <c r="D85" s="11">
        <f>VLOOKUP($A85,'Mat of App'!$B$7:$AP$43,D$66,FALSE)</f>
        <v>0</v>
      </c>
      <c r="E85" s="11">
        <f>VLOOKUP($A85,'Mat of App'!$B$7:$AP$43,E$66,FALSE)</f>
        <v>0</v>
      </c>
      <c r="F85" s="11">
        <f>VLOOKUP($A85,'Mat of App'!$B$7:$AP$43,F$66,FALSE)</f>
        <v>0</v>
      </c>
      <c r="G85" s="11">
        <f>VLOOKUP($A85,'Mat of App'!$B$7:$AP$43,G$66,FALSE)</f>
        <v>0</v>
      </c>
      <c r="H85" s="11">
        <f>VLOOKUP($A85,'Mat of App'!$B$7:$AP$43,H$66,FALSE)</f>
        <v>0</v>
      </c>
      <c r="I85" s="11">
        <f>VLOOKUP($A85,'Mat of App'!$B$7:$AP$43,I$66,FALSE)</f>
        <v>0</v>
      </c>
      <c r="J85" s="7"/>
      <c r="K85"/>
    </row>
    <row r="86" spans="1:11" ht="15">
      <c r="A86" s="285" t="s">
        <v>66</v>
      </c>
      <c r="B86" s="11">
        <f>VLOOKUP($A86,'Mat of App'!$B$7:$AP$43,B$66,FALSE)</f>
        <v>0</v>
      </c>
      <c r="C86" s="11">
        <f>VLOOKUP($A86,'Mat of App'!$B$7:$AP$43,C$66,FALSE)</f>
        <v>0</v>
      </c>
      <c r="D86" s="11">
        <f>VLOOKUP($A86,'Mat of App'!$B$7:$AP$43,D$66,FALSE)</f>
        <v>0</v>
      </c>
      <c r="E86" s="11">
        <f>VLOOKUP($A86,'Mat of App'!$B$7:$AP$43,E$66,FALSE)</f>
        <v>0</v>
      </c>
      <c r="F86" s="11">
        <f>VLOOKUP($A86,'Mat of App'!$B$7:$AP$43,F$66,FALSE)</f>
        <v>0</v>
      </c>
      <c r="G86" s="11">
        <f>VLOOKUP($A86,'Mat of App'!$B$7:$AP$43,G$66,FALSE)</f>
        <v>0</v>
      </c>
      <c r="H86" s="11">
        <f>VLOOKUP($A86,'Mat of App'!$B$7:$AP$43,H$66,FALSE)</f>
        <v>0</v>
      </c>
      <c r="I86" s="11">
        <f>VLOOKUP($A86,'Mat of App'!$B$7:$AP$43,I$66,FALSE)</f>
        <v>0</v>
      </c>
      <c r="J86" s="7"/>
      <c r="K86"/>
    </row>
    <row r="87" spans="1:11" ht="15">
      <c r="A87" s="285" t="s">
        <v>1519</v>
      </c>
      <c r="B87" s="11">
        <f>VLOOKUP($A87,'Mat of App'!$B$7:$AP$43,B$66,FALSE)</f>
        <v>0</v>
      </c>
      <c r="C87" s="11">
        <f>VLOOKUP($A87,'Mat of App'!$B$7:$AP$43,C$66,FALSE)</f>
        <v>0</v>
      </c>
      <c r="D87" s="11">
        <f>VLOOKUP($A87,'Mat of App'!$B$7:$AP$43,D$66,FALSE)</f>
        <v>0</v>
      </c>
      <c r="E87" s="11">
        <f>VLOOKUP($A87,'Mat of App'!$B$7:$AP$43,E$66,FALSE)</f>
        <v>0</v>
      </c>
      <c r="F87" s="11">
        <f>VLOOKUP($A87,'Mat of App'!$B$7:$AP$43,F$66,FALSE)</f>
        <v>0</v>
      </c>
      <c r="G87" s="11">
        <f>VLOOKUP($A87,'Mat of App'!$B$7:$AP$43,G$66,FALSE)</f>
        <v>0</v>
      </c>
      <c r="H87" s="11">
        <f>VLOOKUP($A87,'Mat of App'!$B$7:$AP$43,H$66,FALSE)</f>
        <v>0</v>
      </c>
      <c r="I87" s="11">
        <f>VLOOKUP($A87,'Mat of App'!$B$7:$AP$43,I$66,FALSE)</f>
        <v>0</v>
      </c>
      <c r="J87" s="7" t="s">
        <v>224</v>
      </c>
      <c r="K87"/>
    </row>
    <row r="88" spans="1:11" ht="15">
      <c r="A88"/>
      <c r="B88"/>
      <c r="C88"/>
      <c r="D88"/>
      <c r="E88"/>
      <c r="F88"/>
      <c r="G88"/>
      <c r="H88"/>
      <c r="I88"/>
      <c r="J88"/>
      <c r="K88"/>
    </row>
    <row r="89" spans="1:11" ht="19.5">
      <c r="A89" s="1" t="s">
        <v>67</v>
      </c>
      <c r="B89"/>
      <c r="C89"/>
      <c r="D89"/>
      <c r="E89"/>
      <c r="F89"/>
      <c r="G89"/>
      <c r="H89"/>
      <c r="I89"/>
      <c r="J89"/>
      <c r="K89"/>
    </row>
    <row r="90" spans="1:11" ht="15">
      <c r="A90" s="2"/>
      <c r="B90"/>
      <c r="C90"/>
      <c r="D90"/>
      <c r="E90"/>
      <c r="F90"/>
      <c r="G90"/>
      <c r="H90"/>
      <c r="I90"/>
      <c r="J90"/>
      <c r="K90"/>
    </row>
    <row r="91" spans="1:11" ht="15">
      <c r="A91" s="2" t="s">
        <v>68</v>
      </c>
      <c r="B91"/>
      <c r="C91"/>
      <c r="D91"/>
      <c r="E91"/>
      <c r="F91"/>
      <c r="G91"/>
      <c r="H91"/>
      <c r="I91"/>
      <c r="J91"/>
      <c r="K91"/>
    </row>
    <row r="92" spans="1:11" ht="15">
      <c r="A92" t="s">
        <v>69</v>
      </c>
      <c r="B92"/>
      <c r="C92"/>
      <c r="D92"/>
      <c r="E92"/>
      <c r="F92"/>
      <c r="G92"/>
      <c r="H92"/>
      <c r="I92"/>
      <c r="J92"/>
      <c r="K92"/>
    </row>
    <row r="93" spans="1:11" ht="15">
      <c r="A93"/>
      <c r="B93" s="3" t="s">
        <v>37</v>
      </c>
      <c r="C93" s="3" t="s">
        <v>38</v>
      </c>
      <c r="D93" s="3" t="s">
        <v>39</v>
      </c>
      <c r="E93" s="3" t="s">
        <v>40</v>
      </c>
      <c r="F93" s="3" t="s">
        <v>41</v>
      </c>
      <c r="G93" s="3" t="s">
        <v>42</v>
      </c>
      <c r="H93" s="3" t="s">
        <v>43</v>
      </c>
      <c r="I93" s="3" t="s">
        <v>44</v>
      </c>
      <c r="J93"/>
      <c r="K93"/>
    </row>
    <row r="94" spans="1:11" ht="15">
      <c r="A94" s="8" t="s">
        <v>70</v>
      </c>
      <c r="B94" s="4">
        <f>VLOOKUP($A94,'Mat of App'!$B$7:$AP$43,B$66,FALSE)</f>
        <v>0</v>
      </c>
      <c r="C94" s="4">
        <f>VLOOKUP($A94,'Mat of App'!$B$7:$AP$43,C$66,FALSE)</f>
        <v>0</v>
      </c>
      <c r="D94" s="4">
        <f>VLOOKUP($A94,'Mat of App'!$B$7:$AP$43,D$66,FALSE)</f>
        <v>0</v>
      </c>
      <c r="E94" s="4">
        <f>VLOOKUP($A94,'Mat of App'!$B$7:$AP$43,E$66,FALSE)</f>
        <v>0</v>
      </c>
      <c r="F94" s="4">
        <f>VLOOKUP($A94,'Mat of App'!$B$7:$AP$43,F$66,FALSE)</f>
        <v>0</v>
      </c>
      <c r="G94" s="4">
        <f>VLOOKUP($A94,'Mat of App'!$B$7:$AP$43,G$66,FALSE)</f>
        <v>0</v>
      </c>
      <c r="H94" s="4">
        <f>VLOOKUP($A94,'Mat of App'!$B$7:$AP$43,H$66,FALSE)</f>
        <v>0</v>
      </c>
      <c r="I94" s="4">
        <f>VLOOKUP($A94,'Mat of App'!$B$7:$AP$43,I$66,FALSE)</f>
        <v>0.48799999999999999</v>
      </c>
      <c r="J94" s="7" t="s">
        <v>224</v>
      </c>
      <c r="K94"/>
    </row>
    <row r="95" spans="1:11" ht="15">
      <c r="A95"/>
      <c r="B95"/>
      <c r="C95"/>
      <c r="D95"/>
      <c r="E95"/>
      <c r="F95"/>
      <c r="G95"/>
      <c r="H95"/>
      <c r="I95"/>
      <c r="J95"/>
      <c r="K95"/>
    </row>
    <row r="96" spans="1:11" ht="19.5">
      <c r="A96" s="1" t="s">
        <v>71</v>
      </c>
      <c r="B96"/>
      <c r="C96"/>
      <c r="D96"/>
      <c r="E96"/>
      <c r="F96"/>
      <c r="G96"/>
      <c r="H96"/>
      <c r="I96"/>
      <c r="J96"/>
      <c r="K96"/>
    </row>
    <row r="97" spans="1:11" ht="15">
      <c r="A97"/>
      <c r="B97">
        <v>17</v>
      </c>
      <c r="C97">
        <f>B97+1</f>
        <v>18</v>
      </c>
      <c r="D97">
        <f>C97+1</f>
        <v>19</v>
      </c>
      <c r="E97">
        <f>D97+1</f>
        <v>20</v>
      </c>
      <c r="F97">
        <f>E97+1</f>
        <v>21</v>
      </c>
      <c r="G97"/>
      <c r="H97"/>
      <c r="I97"/>
      <c r="J97"/>
      <c r="K97"/>
    </row>
    <row r="98" spans="1:11" ht="15">
      <c r="A98"/>
      <c r="B98" s="3" t="s">
        <v>47</v>
      </c>
      <c r="C98" s="3" t="s">
        <v>48</v>
      </c>
      <c r="D98" s="3" t="s">
        <v>49</v>
      </c>
      <c r="E98" s="3" t="s">
        <v>50</v>
      </c>
      <c r="F98" s="3" t="s">
        <v>51</v>
      </c>
      <c r="G98"/>
      <c r="H98"/>
      <c r="I98"/>
      <c r="J98"/>
      <c r="K98"/>
    </row>
    <row r="99" spans="1:11" ht="15">
      <c r="A99" s="285" t="s">
        <v>72</v>
      </c>
      <c r="B99" s="11">
        <f>VLOOKUP($A99,'Mat of App'!$B$7:$AP$43,B$97,FALSE)</f>
        <v>1</v>
      </c>
      <c r="C99" s="11">
        <f>VLOOKUP($A99,'Mat of App'!$B$7:$AP$43,C$97,FALSE)</f>
        <v>0</v>
      </c>
      <c r="D99" s="11">
        <f>VLOOKUP($A99,'Mat of App'!$B$7:$AP$43,D$97,FALSE)</f>
        <v>0</v>
      </c>
      <c r="E99" s="11">
        <f>VLOOKUP($A99,'Mat of App'!$B$7:$AP$43,E$97,FALSE)</f>
        <v>0</v>
      </c>
      <c r="F99" s="11">
        <f>VLOOKUP($A99,'Mat of App'!$B$7:$AP$43,F$97,FALSE)</f>
        <v>0</v>
      </c>
      <c r="G99" s="7" t="s">
        <v>224</v>
      </c>
      <c r="H99"/>
      <c r="I99"/>
      <c r="J99"/>
      <c r="K99"/>
    </row>
    <row r="100" spans="1:11" ht="15">
      <c r="A100" s="285" t="s">
        <v>73</v>
      </c>
      <c r="B100" s="11">
        <f>VLOOKUP($A100,'Mat of App'!$B$7:$AP$43,B$97,FALSE)</f>
        <v>1</v>
      </c>
      <c r="C100" s="11">
        <f>VLOOKUP($A100,'Mat of App'!$B$7:$AP$43,C$97,FALSE)</f>
        <v>0</v>
      </c>
      <c r="D100" s="11">
        <f>VLOOKUP($A100,'Mat of App'!$B$7:$AP$43,D$97,FALSE)</f>
        <v>0</v>
      </c>
      <c r="E100" s="11">
        <f>VLOOKUP($A100,'Mat of App'!$B$7:$AP$43,E$97,FALSE)</f>
        <v>0</v>
      </c>
      <c r="F100" s="11">
        <f>VLOOKUP($A100,'Mat of App'!$B$7:$AP$43,F$97,FALSE)</f>
        <v>0</v>
      </c>
      <c r="G100" s="7" t="s">
        <v>224</v>
      </c>
      <c r="H100"/>
      <c r="I100"/>
      <c r="J100"/>
      <c r="K100"/>
    </row>
    <row r="101" spans="1:11" customFormat="1" ht="15">
      <c r="A101" s="285" t="s">
        <v>74</v>
      </c>
      <c r="B101" s="11">
        <f>VLOOKUP($A101,'Mat of App'!$B$7:$AP$43,B$97,FALSE)</f>
        <v>0</v>
      </c>
      <c r="C101" s="11">
        <f>VLOOKUP($A101,'Mat of App'!$B$7:$AP$43,C$97,FALSE)</f>
        <v>1</v>
      </c>
      <c r="D101" s="11">
        <f>VLOOKUP($A101,'Mat of App'!$B$7:$AP$43,D$97,FALSE)</f>
        <v>0</v>
      </c>
      <c r="E101" s="11">
        <f>VLOOKUP($A101,'Mat of App'!$B$7:$AP$43,E$97,FALSE)</f>
        <v>0</v>
      </c>
      <c r="F101" s="11">
        <f>VLOOKUP($A101,'Mat of App'!$B$7:$AP$43,F$97,FALSE)</f>
        <v>0</v>
      </c>
      <c r="G101" s="7"/>
    </row>
    <row r="102" spans="1:11" customFormat="1" ht="15">
      <c r="A102" s="285" t="s">
        <v>1520</v>
      </c>
      <c r="B102" s="11">
        <f>VLOOKUP($A102,'Mat of App'!$B$7:$AP$43,B$97,FALSE)</f>
        <v>0</v>
      </c>
      <c r="C102" s="11">
        <f>VLOOKUP($A102,'Mat of App'!$B$7:$AP$43,C$97,FALSE)</f>
        <v>1</v>
      </c>
      <c r="D102" s="11">
        <f>VLOOKUP($A102,'Mat of App'!$B$7:$AP$43,D$97,FALSE)</f>
        <v>0</v>
      </c>
      <c r="E102" s="11">
        <f>VLOOKUP($A102,'Mat of App'!$B$7:$AP$43,E$97,FALSE)</f>
        <v>0</v>
      </c>
      <c r="F102" s="11">
        <f>VLOOKUP($A102,'Mat of App'!$B$7:$AP$43,F$97,FALSE)</f>
        <v>0</v>
      </c>
      <c r="G102" s="7"/>
    </row>
    <row r="103" spans="1:11" customFormat="1" ht="15">
      <c r="A103" s="285" t="s">
        <v>75</v>
      </c>
      <c r="B103" s="11">
        <f>VLOOKUP($A103,'Mat of App'!$B$7:$AP$43,B$97,FALSE)</f>
        <v>0</v>
      </c>
      <c r="C103" s="11">
        <f>VLOOKUP($A103,'Mat of App'!$B$7:$AP$43,C$97,FALSE)</f>
        <v>1</v>
      </c>
      <c r="D103" s="11">
        <f>VLOOKUP($A103,'Mat of App'!$B$7:$AP$43,D$97,FALSE)</f>
        <v>0</v>
      </c>
      <c r="E103" s="11">
        <f>VLOOKUP($A103,'Mat of App'!$B$7:$AP$43,E$97,FALSE)</f>
        <v>0</v>
      </c>
      <c r="F103" s="11">
        <f>VLOOKUP($A103,'Mat of App'!$B$7:$AP$43,F$97,FALSE)</f>
        <v>0</v>
      </c>
      <c r="G103" s="7"/>
    </row>
    <row r="104" spans="1:11" customFormat="1" ht="15">
      <c r="A104" s="285" t="s">
        <v>1521</v>
      </c>
      <c r="B104" s="11">
        <f>VLOOKUP($A104,'Mat of App'!$B$7:$AP$43,B$97,FALSE)</f>
        <v>0</v>
      </c>
      <c r="C104" s="11">
        <f>VLOOKUP($A104,'Mat of App'!$B$7:$AP$43,C$97,FALSE)</f>
        <v>1</v>
      </c>
      <c r="D104" s="11">
        <f>VLOOKUP($A104,'Mat of App'!$B$7:$AP$43,D$97,FALSE)</f>
        <v>0</v>
      </c>
      <c r="E104" s="11">
        <f>VLOOKUP($A104,'Mat of App'!$B$7:$AP$43,E$97,FALSE)</f>
        <v>0</v>
      </c>
      <c r="F104" s="11">
        <f>VLOOKUP($A104,'Mat of App'!$B$7:$AP$43,F$97,FALSE)</f>
        <v>0</v>
      </c>
      <c r="G104" s="7"/>
    </row>
    <row r="105" spans="1:11" ht="15">
      <c r="A105"/>
      <c r="B105"/>
      <c r="C105"/>
      <c r="D105"/>
      <c r="E105"/>
      <c r="F105"/>
      <c r="G105"/>
      <c r="H105"/>
      <c r="I105"/>
      <c r="J105"/>
      <c r="K105"/>
    </row>
    <row r="106" spans="1:11" ht="19.5">
      <c r="A106" s="1" t="s">
        <v>76</v>
      </c>
      <c r="B106"/>
      <c r="C106"/>
      <c r="D106"/>
      <c r="E106"/>
      <c r="F106"/>
      <c r="G106"/>
      <c r="H106"/>
      <c r="I106"/>
      <c r="J106"/>
      <c r="K106"/>
    </row>
    <row r="107" spans="1:11" ht="15">
      <c r="A107" s="2" t="s">
        <v>224</v>
      </c>
      <c r="B107"/>
      <c r="C107"/>
      <c r="D107"/>
      <c r="E107"/>
      <c r="F107"/>
      <c r="G107"/>
      <c r="H107"/>
      <c r="I107"/>
      <c r="J107"/>
      <c r="K107"/>
    </row>
    <row r="108" spans="1:11" ht="15">
      <c r="A108" t="s">
        <v>77</v>
      </c>
      <c r="B108"/>
      <c r="C108"/>
      <c r="D108"/>
      <c r="E108"/>
      <c r="F108"/>
      <c r="G108"/>
      <c r="H108"/>
      <c r="I108"/>
      <c r="J108"/>
      <c r="K108"/>
    </row>
    <row r="109" spans="1:11" ht="15">
      <c r="A109"/>
      <c r="B109" s="3" t="s">
        <v>23</v>
      </c>
      <c r="C109" s="3" t="s">
        <v>24</v>
      </c>
      <c r="D109" s="3" t="s">
        <v>25</v>
      </c>
      <c r="E109" s="3" t="s">
        <v>26</v>
      </c>
      <c r="F109" s="3" t="s">
        <v>27</v>
      </c>
      <c r="G109" s="3" t="s">
        <v>28</v>
      </c>
      <c r="H109" s="3" t="s">
        <v>29</v>
      </c>
      <c r="I109"/>
      <c r="J109"/>
      <c r="K109"/>
    </row>
    <row r="110" spans="1:11" ht="15">
      <c r="A110" s="8" t="s">
        <v>78</v>
      </c>
      <c r="B110" s="4">
        <f>VLOOKUP(Vlookup!B69,'CDCM Forecast Data'!$A$14:$I$271,8,FALSE)</f>
        <v>1.002</v>
      </c>
      <c r="C110" s="4">
        <f>VLOOKUP(Vlookup!C69,'CDCM Forecast Data'!$A$14:$I$271,8,FALSE)</f>
        <v>1.006</v>
      </c>
      <c r="D110" s="4">
        <f>VLOOKUP(Vlookup!D69,'CDCM Forecast Data'!$A$14:$I$271,8,FALSE)</f>
        <v>1.012</v>
      </c>
      <c r="E110" s="4">
        <f>VLOOKUP(Vlookup!E69,'CDCM Forecast Data'!$A$14:$I$271,8,FALSE)</f>
        <v>1.0209999999999999</v>
      </c>
      <c r="F110" s="4">
        <f>VLOOKUP(Vlookup!F69,'CDCM Forecast Data'!$A$14:$I$271,8,FALSE)</f>
        <v>1.038</v>
      </c>
      <c r="G110" s="4">
        <f>VLOOKUP(Vlookup!G69,'CDCM Forecast Data'!$A$14:$I$271,8,FALSE)</f>
        <v>1.0489999999999999</v>
      </c>
      <c r="H110" s="4">
        <f>VLOOKUP(Vlookup!H69,'CDCM Forecast Data'!$A$14:$I$271,8,FALSE)</f>
        <v>1.0620000000000001</v>
      </c>
      <c r="I110" s="7" t="s">
        <v>224</v>
      </c>
      <c r="J110"/>
      <c r="K110"/>
    </row>
    <row r="111" spans="1:11" ht="15">
      <c r="A111"/>
      <c r="B111"/>
      <c r="C111"/>
      <c r="D111"/>
      <c r="E111"/>
      <c r="F111"/>
      <c r="G111"/>
      <c r="H111"/>
      <c r="I111"/>
      <c r="J111"/>
      <c r="K111"/>
    </row>
    <row r="112" spans="1:11" ht="19.5">
      <c r="A112" s="1" t="s">
        <v>79</v>
      </c>
      <c r="B112"/>
      <c r="C112"/>
      <c r="D112"/>
      <c r="E112"/>
      <c r="F112"/>
      <c r="G112"/>
      <c r="H112"/>
      <c r="I112"/>
      <c r="J112"/>
      <c r="K112"/>
    </row>
    <row r="113" spans="1:11" ht="15">
      <c r="A113" s="2" t="s">
        <v>224</v>
      </c>
      <c r="B113"/>
      <c r="C113"/>
      <c r="D113"/>
      <c r="E113"/>
      <c r="F113"/>
      <c r="G113"/>
      <c r="H113"/>
      <c r="I113"/>
      <c r="J113"/>
      <c r="K113"/>
    </row>
    <row r="114" spans="1:11" ht="15">
      <c r="A114" t="s">
        <v>80</v>
      </c>
      <c r="B114"/>
      <c r="C114"/>
      <c r="D114"/>
      <c r="E114"/>
      <c r="F114"/>
      <c r="G114"/>
      <c r="H114"/>
      <c r="I114"/>
      <c r="J114"/>
      <c r="K114"/>
    </row>
    <row r="115" spans="1:11" ht="15">
      <c r="A115"/>
      <c r="B115" s="3" t="s">
        <v>81</v>
      </c>
      <c r="C115" s="3" t="s">
        <v>82</v>
      </c>
      <c r="D115" s="3" t="s">
        <v>83</v>
      </c>
      <c r="E115" s="3" t="s">
        <v>84</v>
      </c>
      <c r="F115" s="3" t="s">
        <v>85</v>
      </c>
      <c r="G115"/>
      <c r="H115"/>
      <c r="I115"/>
      <c r="J115"/>
      <c r="K115"/>
    </row>
    <row r="116" spans="1:11" ht="15">
      <c r="A116" s="8" t="s">
        <v>86</v>
      </c>
      <c r="B116" s="6"/>
      <c r="C116" s="11">
        <f>VLOOKUP(Vlookup!C75,'CDCM Forecast Data'!$A$14:$I$271,8,FALSE)</f>
        <v>0.37267999985613431</v>
      </c>
      <c r="D116" s="11">
        <f>VLOOKUP(Vlookup!D75,'CDCM Forecast Data'!$A$14:$I$271,8,FALSE)</f>
        <v>0.6188090826390088</v>
      </c>
      <c r="E116" s="11">
        <f>VLOOKUP(Vlookup!E75,'CDCM Forecast Data'!$A$14:$I$271,8,FALSE)</f>
        <v>0.3749541673400224</v>
      </c>
      <c r="F116" s="11">
        <f>VLOOKUP(Vlookup!F75,'CDCM Forecast Data'!$A$14:$I$271,8,FALSE)</f>
        <v>0.25863289422864333</v>
      </c>
      <c r="G116" s="7" t="s">
        <v>224</v>
      </c>
      <c r="H116"/>
      <c r="I116"/>
      <c r="J116"/>
      <c r="K116"/>
    </row>
    <row r="117" spans="1:11" ht="15">
      <c r="A117"/>
      <c r="B117"/>
      <c r="C117"/>
      <c r="D117"/>
      <c r="E117"/>
      <c r="F117"/>
      <c r="G117"/>
      <c r="H117"/>
      <c r="I117"/>
      <c r="J117"/>
      <c r="K117"/>
    </row>
    <row r="118" spans="1:11" ht="19.5">
      <c r="A118" s="1" t="s">
        <v>87</v>
      </c>
      <c r="B118"/>
      <c r="C118"/>
      <c r="D118"/>
      <c r="E118"/>
      <c r="F118"/>
      <c r="G118"/>
      <c r="H118"/>
      <c r="I118"/>
      <c r="J118"/>
      <c r="K118"/>
    </row>
    <row r="119" spans="1:11" ht="15">
      <c r="A119" s="2"/>
      <c r="B119"/>
      <c r="C119"/>
      <c r="D119"/>
      <c r="E119"/>
      <c r="F119"/>
      <c r="G119"/>
      <c r="H119"/>
      <c r="I119"/>
      <c r="J119"/>
      <c r="K119"/>
    </row>
    <row r="120" spans="1:11" ht="15">
      <c r="A120" t="s">
        <v>88</v>
      </c>
      <c r="B120"/>
      <c r="C120"/>
      <c r="D120"/>
      <c r="E120"/>
      <c r="F120"/>
      <c r="G120"/>
      <c r="H120"/>
      <c r="I120"/>
      <c r="J120"/>
      <c r="K120"/>
    </row>
    <row r="121" spans="1:11" ht="15">
      <c r="A121"/>
      <c r="B121" s="3" t="s">
        <v>89</v>
      </c>
      <c r="C121" s="3" t="s">
        <v>90</v>
      </c>
      <c r="D121"/>
      <c r="E121"/>
      <c r="F121"/>
      <c r="G121"/>
      <c r="H121"/>
      <c r="I121"/>
      <c r="J121"/>
      <c r="K121"/>
    </row>
    <row r="122" spans="1:11" ht="15">
      <c r="A122" s="8" t="s">
        <v>54</v>
      </c>
      <c r="B122" s="4">
        <f>VLOOKUP(Vlookup!B81,'CDCM Forecast Data'!$A$14:$I$271,8,FALSE)</f>
        <v>0.9161200130357342</v>
      </c>
      <c r="C122" s="4">
        <f>VLOOKUP(Vlookup!C81,'CDCM Forecast Data'!$A$14:$I$271,8,FALSE)</f>
        <v>0.41794848731992928</v>
      </c>
      <c r="D122" s="7" t="s">
        <v>224</v>
      </c>
      <c r="E122"/>
      <c r="F122"/>
      <c r="G122"/>
      <c r="H122"/>
      <c r="I122"/>
      <c r="J122"/>
      <c r="K122"/>
    </row>
    <row r="123" spans="1:11" ht="15">
      <c r="A123" s="8" t="s">
        <v>55</v>
      </c>
      <c r="B123" s="4">
        <f>VLOOKUP(Vlookup!B82,'CDCM Forecast Data'!$A$14:$I$271,8,FALSE)</f>
        <v>0.34251063480316429</v>
      </c>
      <c r="C123" s="4">
        <f>VLOOKUP(Vlookup!C82,'CDCM Forecast Data'!$A$14:$I$271,8,FALSE)</f>
        <v>0.25787268553133197</v>
      </c>
      <c r="D123" s="7" t="s">
        <v>224</v>
      </c>
      <c r="E123"/>
      <c r="F123"/>
      <c r="G123"/>
      <c r="H123"/>
      <c r="I123"/>
      <c r="J123"/>
      <c r="K123"/>
    </row>
    <row r="124" spans="1:11" ht="15">
      <c r="A124" s="8" t="s">
        <v>91</v>
      </c>
      <c r="B124" s="6"/>
      <c r="C124" s="4">
        <f>VLOOKUP(Vlookup!C83,'CDCM Forecast Data'!$A$14:$I$271,8,FALSE)</f>
        <v>0.14408187510851836</v>
      </c>
      <c r="D124" s="7" t="s">
        <v>224</v>
      </c>
      <c r="E124"/>
      <c r="F124"/>
      <c r="G124"/>
      <c r="H124"/>
      <c r="I124"/>
      <c r="J124"/>
      <c r="K124"/>
    </row>
    <row r="125" spans="1:11" ht="15">
      <c r="A125" s="8" t="s">
        <v>56</v>
      </c>
      <c r="B125" s="4">
        <f>VLOOKUP(Vlookup!B84,'CDCM Forecast Data'!$A$14:$I$271,8,FALSE)</f>
        <v>0.63581024857807822</v>
      </c>
      <c r="C125" s="4">
        <f>VLOOKUP(Vlookup!C84,'CDCM Forecast Data'!$A$14:$I$271,8,FALSE)</f>
        <v>0.39168322631991553</v>
      </c>
      <c r="D125" s="7" t="s">
        <v>224</v>
      </c>
      <c r="E125"/>
      <c r="F125"/>
      <c r="G125"/>
      <c r="H125"/>
      <c r="I125"/>
      <c r="J125"/>
      <c r="K125"/>
    </row>
    <row r="126" spans="1:11" ht="15">
      <c r="A126" s="8" t="s">
        <v>57</v>
      </c>
      <c r="B126" s="4">
        <f>VLOOKUP(Vlookup!B85,'CDCM Forecast Data'!$A$14:$I$271,8,FALSE)</f>
        <v>0.58840544954710228</v>
      </c>
      <c r="C126" s="4">
        <f>VLOOKUP(Vlookup!C85,'CDCM Forecast Data'!$A$14:$I$271,8,FALSE)</f>
        <v>0.4286725135799398</v>
      </c>
      <c r="D126" s="7" t="s">
        <v>224</v>
      </c>
      <c r="E126"/>
      <c r="F126"/>
      <c r="G126"/>
      <c r="H126"/>
      <c r="I126"/>
      <c r="J126"/>
      <c r="K126"/>
    </row>
    <row r="127" spans="1:11" ht="15">
      <c r="A127" s="8" t="s">
        <v>92</v>
      </c>
      <c r="B127" s="6"/>
      <c r="C127" s="4">
        <f>VLOOKUP(Vlookup!C86,'CDCM Forecast Data'!$A$14:$I$271,8,FALSE)</f>
        <v>0.15294404542816803</v>
      </c>
      <c r="D127" s="7" t="s">
        <v>224</v>
      </c>
      <c r="E127"/>
      <c r="F127"/>
      <c r="G127"/>
      <c r="H127"/>
      <c r="I127"/>
      <c r="J127"/>
      <c r="K127"/>
    </row>
    <row r="128" spans="1:11" ht="15">
      <c r="A128" s="8" t="s">
        <v>58</v>
      </c>
      <c r="B128" s="4">
        <f>VLOOKUP(Vlookup!B87,'CDCM Forecast Data'!$A$14:$I$271,8,FALSE)</f>
        <v>0.85855132048386718</v>
      </c>
      <c r="C128" s="4">
        <f>VLOOKUP(Vlookup!C87,'CDCM Forecast Data'!$A$14:$I$271,8,FALSE)</f>
        <v>0.59360150796757727</v>
      </c>
      <c r="D128" s="7" t="s">
        <v>224</v>
      </c>
      <c r="E128"/>
      <c r="F128"/>
      <c r="G128"/>
      <c r="H128"/>
      <c r="I128"/>
      <c r="J128"/>
      <c r="K128"/>
    </row>
    <row r="129" spans="1:11" ht="15">
      <c r="A129" s="8" t="s">
        <v>59</v>
      </c>
      <c r="B129" s="4">
        <f>VLOOKUP(Vlookup!B88,'CDCM Forecast Data'!$A$14:$I$271,8,FALSE)</f>
        <v>0.83823141723685424</v>
      </c>
      <c r="C129" s="4">
        <f>VLOOKUP(Vlookup!C88,'CDCM Forecast Data'!$A$14:$I$271,8,FALSE)</f>
        <v>0.60009005575416807</v>
      </c>
      <c r="D129" s="7" t="s">
        <v>224</v>
      </c>
      <c r="E129"/>
      <c r="F129"/>
      <c r="G129"/>
      <c r="H129"/>
      <c r="I129"/>
      <c r="J129"/>
      <c r="K129"/>
    </row>
    <row r="130" spans="1:11" ht="15">
      <c r="A130" s="8" t="s">
        <v>72</v>
      </c>
      <c r="B130" s="4">
        <f>VLOOKUP(Vlookup!B89,'CDCM Forecast Data'!$A$14:$I$271,8,FALSE)</f>
        <v>0.6632207801144262</v>
      </c>
      <c r="C130" s="4">
        <f>VLOOKUP(Vlookup!C89,'CDCM Forecast Data'!$A$14:$I$271,8,FALSE)</f>
        <v>0.45490842079580179</v>
      </c>
      <c r="D130" s="7" t="s">
        <v>224</v>
      </c>
      <c r="E130"/>
      <c r="F130"/>
      <c r="G130"/>
      <c r="H130"/>
      <c r="I130"/>
      <c r="J130"/>
      <c r="K130"/>
    </row>
    <row r="131" spans="1:11" ht="15">
      <c r="A131" s="8" t="s">
        <v>1178</v>
      </c>
      <c r="B131" s="4">
        <f>VLOOKUP(Vlookup!B90,'CDCM Forecast Data'!$A$14:$I$271,8,FALSE)</f>
        <v>0.82598957531386852</v>
      </c>
      <c r="C131" s="4">
        <f>VLOOKUP(Vlookup!C90,'CDCM Forecast Data'!$A$14:$I$271,8,FALSE)</f>
        <v>0.38999288958750616</v>
      </c>
      <c r="D131" s="7" t="s">
        <v>224</v>
      </c>
      <c r="E131"/>
      <c r="F131"/>
      <c r="G131"/>
      <c r="H131"/>
      <c r="I131"/>
      <c r="J131"/>
      <c r="K131"/>
    </row>
    <row r="132" spans="1:11" ht="15">
      <c r="A132" s="8" t="s">
        <v>1177</v>
      </c>
      <c r="B132" s="4">
        <f>VLOOKUP(Vlookup!B91,'CDCM Forecast Data'!$A$14:$I$271,8,FALSE)</f>
        <v>0.62627960493623358</v>
      </c>
      <c r="C132" s="4">
        <f>VLOOKUP(Vlookup!C91,'CDCM Forecast Data'!$A$14:$I$271,8,FALSE)</f>
        <v>0.39304953059499698</v>
      </c>
      <c r="D132" s="7" t="s">
        <v>224</v>
      </c>
      <c r="E132"/>
      <c r="F132"/>
      <c r="G132"/>
      <c r="H132"/>
      <c r="I132"/>
      <c r="J132"/>
      <c r="K132"/>
    </row>
    <row r="133" spans="1:11" ht="15">
      <c r="A133" s="8" t="s">
        <v>60</v>
      </c>
      <c r="B133" s="4">
        <f>VLOOKUP(Vlookup!B92,'CDCM Forecast Data'!$A$14:$I$271,8,FALSE)</f>
        <v>0.80328789495257791</v>
      </c>
      <c r="C133" s="4">
        <f>VLOOKUP(Vlookup!C92,'CDCM Forecast Data'!$A$14:$I$271,8,FALSE)</f>
        <v>0.58758032453585229</v>
      </c>
      <c r="D133" s="7" t="s">
        <v>224</v>
      </c>
      <c r="E133"/>
      <c r="F133"/>
      <c r="G133"/>
      <c r="H133"/>
      <c r="I133"/>
      <c r="J133"/>
      <c r="K133"/>
    </row>
    <row r="134" spans="1:11" ht="15">
      <c r="A134" s="8" t="s">
        <v>61</v>
      </c>
      <c r="B134" s="4">
        <f>VLOOKUP(Vlookup!B93,'CDCM Forecast Data'!$A$14:$I$271,8,FALSE)</f>
        <v>0.76581938451320009</v>
      </c>
      <c r="C134" s="4">
        <f>VLOOKUP(Vlookup!C93,'CDCM Forecast Data'!$A$14:$I$271,8,FALSE)</f>
        <v>0.6115171758902811</v>
      </c>
      <c r="D134" s="7"/>
      <c r="E134"/>
      <c r="F134"/>
      <c r="G134"/>
      <c r="H134"/>
      <c r="I134"/>
      <c r="J134"/>
      <c r="K134"/>
    </row>
    <row r="135" spans="1:11" ht="15">
      <c r="A135" s="8" t="s">
        <v>73</v>
      </c>
      <c r="B135" s="4">
        <f>VLOOKUP(Vlookup!B94,'CDCM Forecast Data'!$A$14:$I$271,8,FALSE)</f>
        <v>0.8005762642301345</v>
      </c>
      <c r="C135" s="4">
        <f>VLOOKUP(Vlookup!C94,'CDCM Forecast Data'!$A$14:$I$271,8,FALSE)</f>
        <v>0.72287194628784801</v>
      </c>
      <c r="D135" s="7"/>
      <c r="E135"/>
      <c r="F135"/>
      <c r="G135"/>
      <c r="H135"/>
      <c r="I135"/>
      <c r="J135"/>
      <c r="K135"/>
    </row>
    <row r="136" spans="1:11" ht="15">
      <c r="A136" s="8" t="s">
        <v>93</v>
      </c>
      <c r="B136" s="4">
        <f>VLOOKUP(Vlookup!B95,'CDCM Forecast Data'!$A$14:$I$271,8,FALSE)</f>
        <v>1</v>
      </c>
      <c r="C136" s="4">
        <f>VLOOKUP(Vlookup!C95,'CDCM Forecast Data'!$A$14:$I$271,8,FALSE)</f>
        <v>1</v>
      </c>
      <c r="D136" s="7" t="s">
        <v>224</v>
      </c>
      <c r="E136"/>
      <c r="F136"/>
      <c r="G136"/>
      <c r="H136"/>
      <c r="I136"/>
      <c r="J136"/>
      <c r="K136"/>
    </row>
    <row r="137" spans="1:11" ht="15">
      <c r="A137" s="8" t="s">
        <v>94</v>
      </c>
      <c r="B137" s="4">
        <f>VLOOKUP(Vlookup!B96,'CDCM Forecast Data'!$A$14:$I$271,8,FALSE)</f>
        <v>0.98387596899224805</v>
      </c>
      <c r="C137" s="4">
        <f>VLOOKUP(Vlookup!C96,'CDCM Forecast Data'!$A$14:$I$271,8,FALSE)</f>
        <v>0.47495478910775929</v>
      </c>
      <c r="D137" s="7"/>
      <c r="E137"/>
      <c r="F137"/>
      <c r="G137"/>
      <c r="H137"/>
      <c r="I137"/>
      <c r="J137"/>
      <c r="K137"/>
    </row>
    <row r="138" spans="1:11" ht="15">
      <c r="A138" s="8" t="s">
        <v>95</v>
      </c>
      <c r="B138" s="4">
        <f>VLOOKUP(Vlookup!B97,'CDCM Forecast Data'!$A$14:$I$271,8,FALSE)</f>
        <v>0.88050584275830202</v>
      </c>
      <c r="C138" s="4">
        <f>VLOOKUP(Vlookup!C97,'CDCM Forecast Data'!$A$14:$I$271,8,FALSE)</f>
        <v>0.24631614975022856</v>
      </c>
      <c r="D138" s="7"/>
      <c r="E138"/>
      <c r="F138"/>
      <c r="G138"/>
      <c r="H138"/>
      <c r="I138"/>
      <c r="J138"/>
      <c r="K138"/>
    </row>
    <row r="139" spans="1:11" ht="15">
      <c r="A139" s="8" t="s">
        <v>96</v>
      </c>
      <c r="B139" s="4">
        <f>VLOOKUP(Vlookup!B98,'CDCM Forecast Data'!$A$14:$I$271,8,FALSE)</f>
        <v>0</v>
      </c>
      <c r="C139" s="4">
        <f>VLOOKUP(Vlookup!C98,'CDCM Forecast Data'!$A$14:$I$271,8,FALSE)</f>
        <v>0.51526593887289751</v>
      </c>
      <c r="D139" s="7"/>
      <c r="E139"/>
      <c r="F139"/>
      <c r="G139"/>
      <c r="H139"/>
      <c r="I139"/>
      <c r="J139"/>
      <c r="K139"/>
    </row>
    <row r="140" spans="1:11" ht="15">
      <c r="A140" s="8" t="s">
        <v>97</v>
      </c>
      <c r="B140" s="4">
        <f>VLOOKUP(Vlookup!B99,'CDCM Forecast Data'!$A$14:$I$271,8,FALSE)</f>
        <v>0.97137455011863161</v>
      </c>
      <c r="C140" s="4">
        <f>VLOOKUP(Vlookup!C99,'CDCM Forecast Data'!$A$14:$I$271,8,FALSE)</f>
        <v>0.45549294344669516</v>
      </c>
      <c r="D140" s="7" t="s">
        <v>224</v>
      </c>
      <c r="E140"/>
      <c r="F140"/>
      <c r="G140"/>
      <c r="H140"/>
      <c r="I140"/>
      <c r="J140"/>
      <c r="K140"/>
    </row>
    <row r="141" spans="1:11" ht="15">
      <c r="A141"/>
      <c r="B141"/>
      <c r="C141"/>
      <c r="D141"/>
      <c r="E141"/>
      <c r="F141"/>
      <c r="G141"/>
      <c r="H141"/>
      <c r="I141"/>
      <c r="J141"/>
      <c r="K141"/>
    </row>
    <row r="142" spans="1:11" ht="19.5">
      <c r="A142" s="1" t="s">
        <v>98</v>
      </c>
      <c r="B142"/>
      <c r="C142"/>
      <c r="D142"/>
      <c r="E142"/>
      <c r="F142"/>
      <c r="G142"/>
      <c r="H142"/>
      <c r="I142"/>
      <c r="J142"/>
      <c r="K142"/>
    </row>
    <row r="143" spans="1:11" ht="15">
      <c r="A143" s="2" t="s">
        <v>224</v>
      </c>
      <c r="B143">
        <v>25</v>
      </c>
      <c r="C143">
        <v>26</v>
      </c>
      <c r="D143">
        <v>27</v>
      </c>
      <c r="E143">
        <v>28</v>
      </c>
      <c r="F143">
        <v>29</v>
      </c>
      <c r="G143">
        <v>30</v>
      </c>
      <c r="H143">
        <v>31</v>
      </c>
      <c r="I143"/>
      <c r="J143"/>
      <c r="K143"/>
    </row>
    <row r="144" spans="1:11" ht="15">
      <c r="A144" s="2" t="s">
        <v>99</v>
      </c>
      <c r="B144"/>
      <c r="C144"/>
      <c r="D144"/>
      <c r="E144"/>
      <c r="F144"/>
      <c r="G144"/>
      <c r="H144"/>
      <c r="I144"/>
      <c r="J144"/>
      <c r="K144"/>
    </row>
    <row r="145" spans="1:12" ht="15">
      <c r="A145" s="2" t="s">
        <v>100</v>
      </c>
      <c r="B145"/>
      <c r="C145"/>
      <c r="D145"/>
      <c r="E145"/>
      <c r="F145"/>
      <c r="G145"/>
      <c r="H145"/>
      <c r="I145"/>
      <c r="J145"/>
      <c r="K145"/>
    </row>
    <row r="146" spans="1:12" ht="15">
      <c r="A146" t="s">
        <v>101</v>
      </c>
      <c r="B146"/>
      <c r="C146"/>
      <c r="D146"/>
      <c r="E146"/>
      <c r="F146"/>
      <c r="G146"/>
      <c r="H146"/>
      <c r="I146"/>
      <c r="J146"/>
      <c r="K146"/>
    </row>
    <row r="147" spans="1:12" ht="30">
      <c r="A147"/>
      <c r="B147" s="3" t="s">
        <v>102</v>
      </c>
      <c r="C147" s="3" t="s">
        <v>103</v>
      </c>
      <c r="D147" s="3" t="s">
        <v>104</v>
      </c>
      <c r="E147" s="3" t="s">
        <v>105</v>
      </c>
      <c r="F147" s="3" t="s">
        <v>106</v>
      </c>
      <c r="G147" s="284" t="s">
        <v>1569</v>
      </c>
      <c r="H147" s="3" t="s">
        <v>107</v>
      </c>
      <c r="I147"/>
      <c r="J147"/>
      <c r="K147"/>
      <c r="L147"/>
    </row>
    <row r="148" spans="1:12" ht="15">
      <c r="A148" s="12" t="s">
        <v>108</v>
      </c>
      <c r="B148" s="13">
        <f>VLOOKUP(Vlookup!$B107,'CDCM Volume Forecasts'!$A$28:$AL$136,B$143,FALSE)</f>
        <v>0</v>
      </c>
      <c r="C148" s="13">
        <f>VLOOKUP(Vlookup!$B107,'CDCM Volume Forecasts'!$A$28:$AL$136,C$143,FALSE)</f>
        <v>0</v>
      </c>
      <c r="D148" s="13">
        <f>VLOOKUP(Vlookup!$B107,'CDCM Volume Forecasts'!$A$28:$AL$136,D$143,FALSE)</f>
        <v>0</v>
      </c>
      <c r="E148" s="13">
        <f>VLOOKUP(Vlookup!$B107,'CDCM Volume Forecasts'!$A$28:$AL$136,E$143,FALSE)</f>
        <v>0</v>
      </c>
      <c r="F148" s="13">
        <f>VLOOKUP(Vlookup!$B107,'CDCM Volume Forecasts'!$A$28:$AL$136,F$143,FALSE)</f>
        <v>0</v>
      </c>
      <c r="G148" s="13"/>
      <c r="H148" s="13">
        <f>VLOOKUP(Vlookup!$B107,'CDCM Volume Forecasts'!$A$28:$AL$136,G$143,FALSE)</f>
        <v>0</v>
      </c>
      <c r="I148" s="7"/>
      <c r="J148"/>
      <c r="K148"/>
      <c r="L148"/>
    </row>
    <row r="149" spans="1:12" ht="15">
      <c r="A149" s="8" t="s">
        <v>54</v>
      </c>
      <c r="B149" s="266">
        <f>VLOOKUP(Vlookup!$B108,'CDCM Volume Forecasts'!$A$28:$AL$136,B$143,FALSE)</f>
        <v>4308328.1799358893</v>
      </c>
      <c r="C149" s="292"/>
      <c r="D149" s="292"/>
      <c r="E149" s="266">
        <f>VLOOKUP(Vlookup!$B108,'CDCM Volume Forecasts'!$A$28:$AL$136,E$143,FALSE)</f>
        <v>1249039.053009829</v>
      </c>
      <c r="F149" s="292"/>
      <c r="G149" s="292"/>
      <c r="H149" s="292"/>
      <c r="I149" s="7"/>
      <c r="J149"/>
      <c r="K149"/>
      <c r="L149"/>
    </row>
    <row r="150" spans="1:12" ht="15">
      <c r="A150" s="8" t="s">
        <v>109</v>
      </c>
      <c r="B150" s="266">
        <f>VLOOKUP(Vlookup!$B109,'CDCM Volume Forecasts'!$A$28:$AL$136,B$143,FALSE)</f>
        <v>17317.244984043104</v>
      </c>
      <c r="C150" s="292"/>
      <c r="D150" s="292"/>
      <c r="E150" s="266">
        <f>VLOOKUP(Vlookup!$B109,'CDCM Volume Forecasts'!$A$28:$AL$136,E$143,FALSE)</f>
        <v>6432.4704020547961</v>
      </c>
      <c r="F150" s="292"/>
      <c r="G150" s="292"/>
      <c r="H150" s="292"/>
      <c r="I150" s="7"/>
      <c r="J150"/>
      <c r="K150"/>
      <c r="L150"/>
    </row>
    <row r="151" spans="1:12" ht="15">
      <c r="A151" s="8" t="s">
        <v>110</v>
      </c>
      <c r="B151" s="266">
        <f>VLOOKUP(Vlookup!$B110,'CDCM Volume Forecasts'!$A$28:$AL$136,B$143,FALSE)</f>
        <v>30359.986233439653</v>
      </c>
      <c r="C151" s="292"/>
      <c r="D151" s="292"/>
      <c r="E151" s="266">
        <f>VLOOKUP(Vlookup!$B110,'CDCM Volume Forecasts'!$A$28:$AL$136,E$143,FALSE)</f>
        <v>11844.01251369863</v>
      </c>
      <c r="F151" s="292"/>
      <c r="G151" s="292"/>
      <c r="H151" s="292"/>
      <c r="I151" s="7"/>
      <c r="J151"/>
      <c r="K151"/>
      <c r="L151"/>
    </row>
    <row r="152" spans="1:12" ht="15">
      <c r="A152" s="12" t="s">
        <v>111</v>
      </c>
      <c r="B152" s="290"/>
      <c r="C152" s="290"/>
      <c r="D152" s="290"/>
      <c r="E152" s="290"/>
      <c r="F152" s="290"/>
      <c r="G152" s="290"/>
      <c r="H152" s="290"/>
      <c r="I152" s="7"/>
      <c r="J152"/>
      <c r="K152"/>
      <c r="L152"/>
    </row>
    <row r="153" spans="1:12" ht="15">
      <c r="A153" s="8" t="s">
        <v>55</v>
      </c>
      <c r="B153" s="266">
        <f>VLOOKUP(Vlookup!$B112,'CDCM Volume Forecasts'!$A$28:$AL$136,B$143,FALSE)</f>
        <v>607941.0703076917</v>
      </c>
      <c r="C153" s="266">
        <f>VLOOKUP(Vlookup!$B112,'CDCM Volume Forecasts'!$A$28:$AL$136,C$143,FALSE)</f>
        <v>664320.74235178798</v>
      </c>
      <c r="D153" s="292"/>
      <c r="E153" s="266">
        <f>VLOOKUP(Vlookup!$B112,'CDCM Volume Forecasts'!$A$28:$AL$136,E$143,FALSE)</f>
        <v>209037.51452636323</v>
      </c>
      <c r="F153" s="292"/>
      <c r="G153" s="292"/>
      <c r="H153" s="292"/>
      <c r="I153" s="7"/>
      <c r="J153"/>
      <c r="K153"/>
      <c r="L153"/>
    </row>
    <row r="154" spans="1:12" ht="15">
      <c r="A154" s="8" t="s">
        <v>112</v>
      </c>
      <c r="B154" s="266">
        <f>VLOOKUP(Vlookup!$B113,'CDCM Volume Forecasts'!$A$28:$AL$136,B$143,FALSE)</f>
        <v>996.33454580172418</v>
      </c>
      <c r="C154" s="266">
        <f>VLOOKUP(Vlookup!$B113,'CDCM Volume Forecasts'!$A$28:$AL$136,C$143,FALSE)</f>
        <v>464.31544950000011</v>
      </c>
      <c r="D154" s="292"/>
      <c r="E154" s="266">
        <f>VLOOKUP(Vlookup!$B113,'CDCM Volume Forecasts'!$A$28:$AL$136,E$143,FALSE)</f>
        <v>424.57848904109591</v>
      </c>
      <c r="F154" s="292"/>
      <c r="G154" s="292"/>
      <c r="H154" s="292"/>
      <c r="I154" s="7"/>
      <c r="J154"/>
      <c r="K154"/>
      <c r="L154"/>
    </row>
    <row r="155" spans="1:12" ht="15">
      <c r="A155" s="8" t="s">
        <v>113</v>
      </c>
      <c r="B155" s="266">
        <f>VLOOKUP(Vlookup!$B114,'CDCM Volume Forecasts'!$A$28:$AL$136,B$143,FALSE)</f>
        <v>958.18848680172437</v>
      </c>
      <c r="C155" s="266">
        <f>VLOOKUP(Vlookup!$B114,'CDCM Volume Forecasts'!$A$28:$AL$136,C$143,FALSE)</f>
        <v>407.95688506034486</v>
      </c>
      <c r="D155" s="292"/>
      <c r="E155" s="266">
        <f>VLOOKUP(Vlookup!$B114,'CDCM Volume Forecasts'!$A$28:$AL$136,E$143,FALSE)</f>
        <v>368.39690136986303</v>
      </c>
      <c r="F155" s="292"/>
      <c r="G155" s="292"/>
      <c r="H155" s="292"/>
      <c r="I155" s="7"/>
      <c r="J155"/>
      <c r="K155"/>
      <c r="L155"/>
    </row>
    <row r="156" spans="1:12" ht="15">
      <c r="A156" s="12" t="s">
        <v>114</v>
      </c>
      <c r="B156" s="290"/>
      <c r="C156" s="290"/>
      <c r="D156" s="290"/>
      <c r="E156" s="290"/>
      <c r="F156" s="290"/>
      <c r="G156" s="290"/>
      <c r="H156" s="290"/>
      <c r="I156" s="7"/>
      <c r="J156"/>
      <c r="K156"/>
      <c r="L156"/>
    </row>
    <row r="157" spans="1:12" ht="15">
      <c r="A157" s="8" t="s">
        <v>91</v>
      </c>
      <c r="B157" s="266">
        <f>VLOOKUP(Vlookup!$B116,'CDCM Volume Forecasts'!$A$28:$AL$136,B$143,FALSE)</f>
        <v>45959.708361578618</v>
      </c>
      <c r="C157" s="292"/>
      <c r="D157" s="292"/>
      <c r="E157" s="266">
        <f>VLOOKUP(Vlookup!$B116,'CDCM Volume Forecasts'!$A$28:$AL$136,E$143,FALSE)</f>
        <v>15622</v>
      </c>
      <c r="F157" s="292"/>
      <c r="G157" s="292"/>
      <c r="H157" s="292"/>
      <c r="I157" s="7"/>
      <c r="J157"/>
      <c r="K157"/>
      <c r="L157"/>
    </row>
    <row r="158" spans="1:12" ht="15">
      <c r="A158" s="8" t="s">
        <v>115</v>
      </c>
      <c r="B158" s="266">
        <f>VLOOKUP(Vlookup!$B117,'CDCM Volume Forecasts'!$A$28:$AL$136,B$143,FALSE)</f>
        <v>0</v>
      </c>
      <c r="C158" s="292"/>
      <c r="D158" s="292"/>
      <c r="E158" s="266">
        <f>VLOOKUP(Vlookup!$B117,'CDCM Volume Forecasts'!$A$28:$AL$136,E$143,FALSE)</f>
        <v>0</v>
      </c>
      <c r="F158" s="292"/>
      <c r="G158" s="292"/>
      <c r="H158" s="292"/>
      <c r="I158" s="7"/>
      <c r="J158"/>
      <c r="K158"/>
      <c r="L158"/>
    </row>
    <row r="159" spans="1:12" ht="15">
      <c r="A159" s="8" t="s">
        <v>116</v>
      </c>
      <c r="B159" s="266">
        <f>VLOOKUP(Vlookup!$B118,'CDCM Volume Forecasts'!$A$28:$AL$136,B$143,FALSE)</f>
        <v>0</v>
      </c>
      <c r="C159" s="292"/>
      <c r="D159" s="292"/>
      <c r="E159" s="266">
        <f>VLOOKUP(Vlookup!$B118,'CDCM Volume Forecasts'!$A$28:$AL$136,E$143,FALSE)</f>
        <v>0</v>
      </c>
      <c r="F159" s="292"/>
      <c r="G159" s="292"/>
      <c r="H159" s="292"/>
      <c r="I159" s="7"/>
      <c r="J159"/>
      <c r="K159"/>
      <c r="L159"/>
    </row>
    <row r="160" spans="1:12" ht="15">
      <c r="A160" s="12" t="s">
        <v>117</v>
      </c>
      <c r="B160" s="290"/>
      <c r="C160" s="290"/>
      <c r="D160" s="290"/>
      <c r="E160" s="290"/>
      <c r="F160" s="290"/>
      <c r="G160" s="290"/>
      <c r="H160" s="290"/>
      <c r="I160" s="7"/>
      <c r="J160"/>
      <c r="K160"/>
      <c r="L160"/>
    </row>
    <row r="161" spans="1:12" ht="15">
      <c r="A161" s="8" t="s">
        <v>56</v>
      </c>
      <c r="B161" s="266">
        <f>VLOOKUP(Vlookup!$B120,'CDCM Volume Forecasts'!$A$28:$AL$136,B$143,FALSE)</f>
        <v>1179331.5292248435</v>
      </c>
      <c r="C161" s="292"/>
      <c r="D161" s="292"/>
      <c r="E161" s="266">
        <f>VLOOKUP(Vlookup!$B120,'CDCM Volume Forecasts'!$A$28:$AL$136,E$143,FALSE)</f>
        <v>110093.23974331518</v>
      </c>
      <c r="F161" s="292"/>
      <c r="G161" s="292"/>
      <c r="H161" s="292"/>
      <c r="I161" s="7"/>
      <c r="J161"/>
      <c r="K161"/>
      <c r="L161"/>
    </row>
    <row r="162" spans="1:12" ht="15">
      <c r="A162" s="8" t="s">
        <v>118</v>
      </c>
      <c r="B162" s="266">
        <f>VLOOKUP(Vlookup!$B121,'CDCM Volume Forecasts'!$A$28:$AL$136,B$143,FALSE)</f>
        <v>788.43675949137935</v>
      </c>
      <c r="C162" s="292"/>
      <c r="D162" s="292"/>
      <c r="E162" s="266">
        <f>VLOOKUP(Vlookup!$B121,'CDCM Volume Forecasts'!$A$28:$AL$136,E$143,FALSE)</f>
        <v>127.831401369863</v>
      </c>
      <c r="F162" s="292"/>
      <c r="G162" s="292"/>
      <c r="H162" s="292"/>
      <c r="I162" s="7"/>
      <c r="J162"/>
      <c r="K162"/>
      <c r="L162"/>
    </row>
    <row r="163" spans="1:12" ht="15">
      <c r="A163" s="8" t="s">
        <v>119</v>
      </c>
      <c r="B163" s="266">
        <f>VLOOKUP(Vlookup!$B122,'CDCM Volume Forecasts'!$A$28:$AL$136,B$143,FALSE)</f>
        <v>7392.7733794913811</v>
      </c>
      <c r="C163" s="292"/>
      <c r="D163" s="292"/>
      <c r="E163" s="266">
        <f>VLOOKUP(Vlookup!$B122,'CDCM Volume Forecasts'!$A$28:$AL$136,E$143,FALSE)</f>
        <v>462.20062191780835</v>
      </c>
      <c r="F163" s="292"/>
      <c r="G163" s="292"/>
      <c r="H163" s="292"/>
      <c r="I163" s="7"/>
      <c r="J163"/>
      <c r="K163"/>
      <c r="L163"/>
    </row>
    <row r="164" spans="1:12" ht="15">
      <c r="A164" s="12" t="s">
        <v>120</v>
      </c>
      <c r="B164" s="290"/>
      <c r="C164" s="290"/>
      <c r="D164" s="290"/>
      <c r="E164" s="290"/>
      <c r="F164" s="290"/>
      <c r="G164" s="290"/>
      <c r="H164" s="290"/>
      <c r="I164" s="7"/>
      <c r="J164"/>
      <c r="K164"/>
      <c r="L164"/>
    </row>
    <row r="165" spans="1:12" ht="15">
      <c r="A165" s="8" t="s">
        <v>57</v>
      </c>
      <c r="B165" s="266">
        <f>VLOOKUP(Vlookup!$B124,'CDCM Volume Forecasts'!$A$28:$AL$136,B$143,FALSE)</f>
        <v>394405.65408074018</v>
      </c>
      <c r="C165" s="266">
        <f>VLOOKUP(Vlookup!$B124,'CDCM Volume Forecasts'!$A$28:$AL$136,C$143,FALSE)</f>
        <v>183263.23104870663</v>
      </c>
      <c r="D165" s="292"/>
      <c r="E165" s="266">
        <f>VLOOKUP(Vlookup!$B124,'CDCM Volume Forecasts'!$A$28:$AL$136,E$143,FALSE)</f>
        <v>29443.268260965255</v>
      </c>
      <c r="F165" s="292"/>
      <c r="G165" s="292"/>
      <c r="H165" s="292"/>
      <c r="I165" s="7"/>
      <c r="J165"/>
      <c r="K165"/>
      <c r="L165"/>
    </row>
    <row r="166" spans="1:12" ht="15">
      <c r="A166" s="8" t="s">
        <v>121</v>
      </c>
      <c r="B166" s="266">
        <f>VLOOKUP(Vlookup!$B125,'CDCM Volume Forecasts'!$A$28:$AL$136,B$143,FALSE)</f>
        <v>41.250505112068964</v>
      </c>
      <c r="C166" s="266">
        <f>VLOOKUP(Vlookup!$B125,'CDCM Volume Forecasts'!$A$28:$AL$136,C$143,FALSE)</f>
        <v>17.318100413793108</v>
      </c>
      <c r="D166" s="292"/>
      <c r="E166" s="266">
        <f>VLOOKUP(Vlookup!$B125,'CDCM Volume Forecasts'!$A$28:$AL$136,E$143,FALSE)</f>
        <v>2.757156164383562</v>
      </c>
      <c r="F166" s="292"/>
      <c r="G166" s="292"/>
      <c r="H166" s="292"/>
      <c r="I166" s="7"/>
      <c r="J166"/>
      <c r="K166"/>
      <c r="L166"/>
    </row>
    <row r="167" spans="1:12" ht="15">
      <c r="A167" s="8" t="s">
        <v>122</v>
      </c>
      <c r="B167" s="266">
        <f>VLOOKUP(Vlookup!$B126,'CDCM Volume Forecasts'!$A$28:$AL$136,B$143,FALSE)</f>
        <v>926.24888312068981</v>
      </c>
      <c r="C167" s="266">
        <f>VLOOKUP(Vlookup!$B126,'CDCM Volume Forecasts'!$A$28:$AL$136,C$143,FALSE)</f>
        <v>260.32896822413795</v>
      </c>
      <c r="D167" s="292"/>
      <c r="E167" s="266">
        <f>VLOOKUP(Vlookup!$B126,'CDCM Volume Forecasts'!$A$28:$AL$136,E$143,FALSE)</f>
        <v>23.554836986301375</v>
      </c>
      <c r="F167" s="292"/>
      <c r="G167" s="292"/>
      <c r="H167" s="292"/>
      <c r="I167" s="7"/>
      <c r="J167"/>
      <c r="K167"/>
      <c r="L167"/>
    </row>
    <row r="168" spans="1:12" ht="15">
      <c r="A168" s="12" t="s">
        <v>123</v>
      </c>
      <c r="B168" s="290"/>
      <c r="C168" s="290"/>
      <c r="D168" s="290"/>
      <c r="E168" s="290"/>
      <c r="F168" s="290"/>
      <c r="G168" s="290"/>
      <c r="H168" s="290"/>
      <c r="I168" s="7"/>
      <c r="J168"/>
      <c r="K168"/>
      <c r="L168"/>
    </row>
    <row r="169" spans="1:12" ht="15">
      <c r="A169" s="8" t="s">
        <v>92</v>
      </c>
      <c r="B169" s="266">
        <f>VLOOKUP(Vlookup!$B128,'CDCM Volume Forecasts'!$A$28:$AL$136,B$143,FALSE)</f>
        <v>17319.819478475714</v>
      </c>
      <c r="C169" s="292"/>
      <c r="D169" s="292"/>
      <c r="E169" s="266">
        <f>VLOOKUP(Vlookup!$B128,'CDCM Volume Forecasts'!$A$28:$AL$136,E$143,FALSE)</f>
        <v>3339</v>
      </c>
      <c r="F169" s="292"/>
      <c r="G169" s="292"/>
      <c r="H169" s="292"/>
      <c r="I169" s="7"/>
      <c r="J169"/>
      <c r="K169"/>
      <c r="L169"/>
    </row>
    <row r="170" spans="1:12" ht="30">
      <c r="A170" s="8" t="s">
        <v>124</v>
      </c>
      <c r="B170" s="266">
        <f>VLOOKUP(Vlookup!$B129,'CDCM Volume Forecasts'!$A$28:$AL$136,B$143,FALSE)</f>
        <v>0</v>
      </c>
      <c r="C170" s="292"/>
      <c r="D170" s="292"/>
      <c r="E170" s="266">
        <f>VLOOKUP(Vlookup!$B129,'CDCM Volume Forecasts'!$A$28:$AL$136,E$143,FALSE)</f>
        <v>0</v>
      </c>
      <c r="F170" s="292"/>
      <c r="G170" s="292"/>
      <c r="H170" s="292"/>
      <c r="I170" s="7"/>
      <c r="J170"/>
      <c r="K170"/>
      <c r="L170"/>
    </row>
    <row r="171" spans="1:12" ht="30">
      <c r="A171" s="8" t="s">
        <v>125</v>
      </c>
      <c r="B171" s="266">
        <f>VLOOKUP(Vlookup!$B130,'CDCM Volume Forecasts'!$A$28:$AL$136,B$143,FALSE)</f>
        <v>0</v>
      </c>
      <c r="C171" s="292"/>
      <c r="D171" s="292"/>
      <c r="E171" s="266">
        <f>VLOOKUP(Vlookup!$B130,'CDCM Volume Forecasts'!$A$28:$AL$136,E$143,FALSE)</f>
        <v>0</v>
      </c>
      <c r="F171" s="292"/>
      <c r="G171" s="292"/>
      <c r="H171" s="292"/>
      <c r="I171" s="7"/>
      <c r="J171"/>
      <c r="K171"/>
      <c r="L171"/>
    </row>
    <row r="172" spans="1:12" ht="15">
      <c r="A172" s="12" t="s">
        <v>126</v>
      </c>
      <c r="B172" s="290"/>
      <c r="C172" s="290"/>
      <c r="D172" s="290"/>
      <c r="E172" s="290"/>
      <c r="F172" s="290"/>
      <c r="G172" s="290"/>
      <c r="H172" s="290"/>
      <c r="I172" s="7"/>
      <c r="J172"/>
      <c r="K172"/>
      <c r="L172"/>
    </row>
    <row r="173" spans="1:12" ht="15">
      <c r="A173" s="8" t="s">
        <v>58</v>
      </c>
      <c r="B173" s="266">
        <f>VLOOKUP(Vlookup!$B132,'CDCM Volume Forecasts'!$A$28:$AL$136,B$143,FALSE)</f>
        <v>8.0133204024159801E-4</v>
      </c>
      <c r="C173" s="266">
        <f>VLOOKUP(Vlookup!$B132,'CDCM Volume Forecasts'!$A$28:$AL$136,C$143,FALSE)</f>
        <v>1.9866795975840209E-4</v>
      </c>
      <c r="D173" s="292"/>
      <c r="E173" s="266">
        <f>VLOOKUP(Vlookup!$B132,'CDCM Volume Forecasts'!$A$28:$AL$136,E$143,FALSE)</f>
        <v>1.1375306250331345E-5</v>
      </c>
      <c r="F173" s="292"/>
      <c r="G173" s="292"/>
      <c r="H173" s="292"/>
      <c r="I173" s="7"/>
      <c r="J173"/>
      <c r="K173"/>
      <c r="L173"/>
    </row>
    <row r="174" spans="1:12" ht="15">
      <c r="A174" s="8" t="s">
        <v>127</v>
      </c>
      <c r="B174" s="266">
        <f>VLOOKUP(Vlookup!$B133,'CDCM Volume Forecasts'!$A$28:$AL$136,B$143,FALSE)</f>
        <v>0</v>
      </c>
      <c r="C174" s="266">
        <f>VLOOKUP(Vlookup!$B133,'CDCM Volume Forecasts'!$A$28:$AL$136,C$143,FALSE)</f>
        <v>0</v>
      </c>
      <c r="D174" s="292"/>
      <c r="E174" s="266">
        <f>VLOOKUP(Vlookup!$B133,'CDCM Volume Forecasts'!$A$28:$AL$136,E$143,FALSE)</f>
        <v>0</v>
      </c>
      <c r="F174" s="292"/>
      <c r="G174" s="292"/>
      <c r="H174" s="292"/>
      <c r="I174" s="7"/>
      <c r="J174"/>
      <c r="K174"/>
      <c r="L174"/>
    </row>
    <row r="175" spans="1:12" ht="15">
      <c r="A175" s="8" t="s">
        <v>128</v>
      </c>
      <c r="B175" s="266">
        <f>VLOOKUP(Vlookup!$B134,'CDCM Volume Forecasts'!$A$28:$AL$136,B$143,FALSE)</f>
        <v>0</v>
      </c>
      <c r="C175" s="266">
        <f>VLOOKUP(Vlookup!$B134,'CDCM Volume Forecasts'!$A$28:$AL$136,C$143,FALSE)</f>
        <v>0</v>
      </c>
      <c r="D175" s="292"/>
      <c r="E175" s="266">
        <f>VLOOKUP(Vlookup!$B134,'CDCM Volume Forecasts'!$A$28:$AL$136,E$143,FALSE)</f>
        <v>0</v>
      </c>
      <c r="F175" s="292"/>
      <c r="G175" s="292"/>
      <c r="H175" s="292"/>
      <c r="I175" s="7"/>
      <c r="J175"/>
      <c r="K175"/>
      <c r="L175"/>
    </row>
    <row r="176" spans="1:12" ht="15">
      <c r="A176" s="12" t="s">
        <v>129</v>
      </c>
      <c r="B176" s="290"/>
      <c r="C176" s="290"/>
      <c r="D176" s="290"/>
      <c r="E176" s="290"/>
      <c r="F176" s="290"/>
      <c r="G176" s="290"/>
      <c r="H176" s="290"/>
      <c r="I176" s="7"/>
      <c r="J176"/>
      <c r="K176"/>
      <c r="L176"/>
    </row>
    <row r="177" spans="1:12" ht="15">
      <c r="A177" s="8" t="s">
        <v>59</v>
      </c>
      <c r="B177" s="266">
        <f>VLOOKUP(Vlookup!$B136,'CDCM Volume Forecasts'!$A$28:$AL$136,B$143,FALSE)</f>
        <v>7.8187632481715845E-4</v>
      </c>
      <c r="C177" s="266">
        <f>VLOOKUP(Vlookup!$B136,'CDCM Volume Forecasts'!$A$28:$AL$136,C$143,FALSE)</f>
        <v>2.1812367518284149E-4</v>
      </c>
      <c r="D177" s="292"/>
      <c r="E177" s="266">
        <f>VLOOKUP(Vlookup!$B136,'CDCM Volume Forecasts'!$A$28:$AL$136,E$143,FALSE)</f>
        <v>8.3651490727006342E-6</v>
      </c>
      <c r="F177" s="292"/>
      <c r="G177" s="292"/>
      <c r="H177" s="292"/>
      <c r="I177" s="7"/>
      <c r="J177"/>
      <c r="K177"/>
      <c r="L177"/>
    </row>
    <row r="178" spans="1:12" ht="15">
      <c r="A178" s="12" t="s">
        <v>130</v>
      </c>
      <c r="B178" s="290"/>
      <c r="C178" s="290"/>
      <c r="D178" s="290"/>
      <c r="E178" s="290"/>
      <c r="F178" s="290"/>
      <c r="G178" s="290"/>
      <c r="H178" s="290"/>
      <c r="I178" s="7"/>
      <c r="J178"/>
      <c r="K178"/>
      <c r="L178"/>
    </row>
    <row r="179" spans="1:12" ht="15">
      <c r="A179" s="8" t="s">
        <v>72</v>
      </c>
      <c r="B179" s="266">
        <f>VLOOKUP(Vlookup!$B138,'CDCM Volume Forecasts'!$A$28:$AL$136,B$143,FALSE)</f>
        <v>7.7902953356325151E-4</v>
      </c>
      <c r="C179" s="266">
        <f>VLOOKUP(Vlookup!$B138,'CDCM Volume Forecasts'!$A$28:$AL$136,C$143,FALSE)</f>
        <v>2.2097046643674843E-4</v>
      </c>
      <c r="D179" s="292"/>
      <c r="E179" s="266">
        <f>VLOOKUP(Vlookup!$B138,'CDCM Volume Forecasts'!$A$28:$AL$136,E$143,FALSE)</f>
        <v>8.8911149421647205E-6</v>
      </c>
      <c r="F179" s="292"/>
      <c r="G179" s="292"/>
      <c r="H179" s="292"/>
      <c r="I179" s="7"/>
      <c r="J179"/>
      <c r="K179"/>
      <c r="L179"/>
    </row>
    <row r="180" spans="1:12" ht="15">
      <c r="A180" s="12" t="s">
        <v>1181</v>
      </c>
      <c r="B180" s="290"/>
      <c r="C180" s="290"/>
      <c r="D180" s="290"/>
      <c r="E180" s="290"/>
      <c r="F180" s="290"/>
      <c r="G180" s="290"/>
      <c r="H180" s="290"/>
      <c r="I180" s="7"/>
      <c r="J180"/>
      <c r="K180"/>
      <c r="L180"/>
    </row>
    <row r="181" spans="1:12" ht="15">
      <c r="A181" s="8" t="s">
        <v>1178</v>
      </c>
      <c r="B181" s="266">
        <f>VLOOKUP(Vlookup!$B140,'CDCM Volume Forecasts'!$A$28:$AL$136,B$143,FALSE)</f>
        <v>2.2038402354910721E-2</v>
      </c>
      <c r="C181" s="266">
        <f>VLOOKUP(Vlookup!$B140,'CDCM Volume Forecasts'!$A$28:$AL$136,C$143,FALSE)</f>
        <v>5.6003186010638299E-2</v>
      </c>
      <c r="D181" s="266">
        <f>VLOOKUP(Vlookup!$B140,'CDCM Volume Forecasts'!$A$28:$AL$136,D$143,FALSE)</f>
        <v>5.28921656517857E-2</v>
      </c>
      <c r="E181" s="266">
        <f>VLOOKUP(Vlookup!$B140,'CDCM Volume Forecasts'!$A$28:$AL$136,E$143,FALSE)</f>
        <v>8.4931506849315067E-2</v>
      </c>
      <c r="F181" s="292"/>
      <c r="G181" s="292"/>
      <c r="H181" s="292"/>
      <c r="I181" s="7"/>
      <c r="J181"/>
      <c r="K181"/>
      <c r="L181"/>
    </row>
    <row r="182" spans="1:12" ht="15">
      <c r="A182" s="8" t="s">
        <v>1175</v>
      </c>
      <c r="B182" s="266">
        <f>VLOOKUP(Vlookup!$B141,'CDCM Volume Forecasts'!$A$28:$AL$136,B$143,FALSE)</f>
        <v>0</v>
      </c>
      <c r="C182" s="266">
        <f>VLOOKUP(Vlookup!$B141,'CDCM Volume Forecasts'!$A$28:$AL$136,C$143,FALSE)</f>
        <v>0</v>
      </c>
      <c r="D182" s="266">
        <f>VLOOKUP(Vlookup!$B141,'CDCM Volume Forecasts'!$A$28:$AL$136,D$143,FALSE)</f>
        <v>0</v>
      </c>
      <c r="E182" s="266">
        <f>VLOOKUP(Vlookup!$B141,'CDCM Volume Forecasts'!$A$28:$AL$136,E$143,FALSE)</f>
        <v>0</v>
      </c>
      <c r="F182" s="292"/>
      <c r="G182" s="292"/>
      <c r="H182" s="292"/>
      <c r="I182" s="7"/>
      <c r="J182"/>
      <c r="K182"/>
      <c r="L182"/>
    </row>
    <row r="183" spans="1:12" ht="15">
      <c r="A183" s="8" t="s">
        <v>1172</v>
      </c>
      <c r="B183" s="266">
        <f>VLOOKUP(Vlookup!$B142,'CDCM Volume Forecasts'!$A$28:$AL$136,B$143,FALSE)</f>
        <v>0</v>
      </c>
      <c r="C183" s="266">
        <f>VLOOKUP(Vlookup!$B142,'CDCM Volume Forecasts'!$A$28:$AL$136,C$143,FALSE)</f>
        <v>0</v>
      </c>
      <c r="D183" s="266">
        <f>VLOOKUP(Vlookup!$B142,'CDCM Volume Forecasts'!$A$28:$AL$136,D$143,FALSE)</f>
        <v>0</v>
      </c>
      <c r="E183" s="266">
        <f>VLOOKUP(Vlookup!$B142,'CDCM Volume Forecasts'!$A$28:$AL$136,E$143,FALSE)</f>
        <v>0</v>
      </c>
      <c r="F183" s="292"/>
      <c r="G183" s="292"/>
      <c r="H183" s="292"/>
      <c r="I183" s="7"/>
      <c r="J183"/>
      <c r="K183"/>
      <c r="L183"/>
    </row>
    <row r="184" spans="1:12" ht="15">
      <c r="A184" s="12" t="s">
        <v>1180</v>
      </c>
      <c r="B184" s="290"/>
      <c r="C184" s="290"/>
      <c r="D184" s="290"/>
      <c r="E184" s="290"/>
      <c r="F184" s="290"/>
      <c r="G184" s="290"/>
      <c r="H184" s="290"/>
      <c r="I184" s="7"/>
      <c r="J184"/>
      <c r="K184"/>
      <c r="L184"/>
    </row>
    <row r="185" spans="1:12" ht="15">
      <c r="A185" s="8" t="s">
        <v>1177</v>
      </c>
      <c r="B185" s="266">
        <f>VLOOKUP(Vlookup!$B144,'CDCM Volume Forecasts'!$A$28:$AL$136,B$143,FALSE)</f>
        <v>26809.776329036184</v>
      </c>
      <c r="C185" s="266">
        <f>VLOOKUP(Vlookup!$B144,'CDCM Volume Forecasts'!$A$28:$AL$136,C$143,FALSE)</f>
        <v>198363.7566935535</v>
      </c>
      <c r="D185" s="266">
        <f>VLOOKUP(Vlookup!$B144,'CDCM Volume Forecasts'!$A$28:$AL$136,D$143,FALSE)</f>
        <v>187790.92736802268</v>
      </c>
      <c r="E185" s="266">
        <f>VLOOKUP(Vlookup!$B144,'CDCM Volume Forecasts'!$A$28:$AL$136,E$143,FALSE)</f>
        <v>6133.3604116966899</v>
      </c>
      <c r="F185" s="292"/>
      <c r="G185" s="292"/>
      <c r="H185" s="292"/>
      <c r="I185" s="7"/>
      <c r="J185"/>
      <c r="K185"/>
      <c r="L185"/>
    </row>
    <row r="186" spans="1:12" ht="15">
      <c r="A186" s="8" t="s">
        <v>1174</v>
      </c>
      <c r="B186" s="266">
        <f>VLOOKUP(Vlookup!$B145,'CDCM Volume Forecasts'!$A$28:$AL$136,B$143,FALSE)</f>
        <v>3.3157410088189661</v>
      </c>
      <c r="C186" s="266">
        <f>VLOOKUP(Vlookup!$B145,'CDCM Volume Forecasts'!$A$28:$AL$136,C$143,FALSE)</f>
        <v>24.610477729189657</v>
      </c>
      <c r="D186" s="266">
        <f>VLOOKUP(Vlookup!$B145,'CDCM Volume Forecasts'!$A$28:$AL$136,D$143,FALSE)</f>
        <v>26.227817446189661</v>
      </c>
      <c r="E186" s="266">
        <f>VLOOKUP(Vlookup!$B145,'CDCM Volume Forecasts'!$A$28:$AL$136,E$143,FALSE)</f>
        <v>1.1300991921225449</v>
      </c>
      <c r="F186" s="292"/>
      <c r="G186" s="292"/>
      <c r="H186" s="292"/>
      <c r="I186" s="7"/>
      <c r="J186"/>
      <c r="K186"/>
      <c r="L186"/>
    </row>
    <row r="187" spans="1:12" ht="15">
      <c r="A187" s="8" t="s">
        <v>1171</v>
      </c>
      <c r="B187" s="266">
        <f>VLOOKUP(Vlookup!$B146,'CDCM Volume Forecasts'!$A$28:$AL$136,B$143,FALSE)</f>
        <v>208.85522710830037</v>
      </c>
      <c r="C187" s="266">
        <f>VLOOKUP(Vlookup!$B146,'CDCM Volume Forecasts'!$A$28:$AL$136,C$143,FALSE)</f>
        <v>1439.9688025914054</v>
      </c>
      <c r="D187" s="266">
        <f>VLOOKUP(Vlookup!$B146,'CDCM Volume Forecasts'!$A$28:$AL$136,D$143,FALSE)</f>
        <v>1182.4128410746812</v>
      </c>
      <c r="E187" s="266">
        <f>VLOOKUP(Vlookup!$B146,'CDCM Volume Forecasts'!$A$28:$AL$136,E$143,FALSE)</f>
        <v>39.906605458800122</v>
      </c>
      <c r="F187" s="292"/>
      <c r="G187" s="292"/>
      <c r="H187" s="292"/>
      <c r="I187" s="7"/>
      <c r="J187"/>
      <c r="K187"/>
      <c r="L187"/>
    </row>
    <row r="188" spans="1:12" ht="15">
      <c r="A188" s="12" t="s">
        <v>131</v>
      </c>
      <c r="B188" s="290"/>
      <c r="C188" s="290"/>
      <c r="D188" s="290"/>
      <c r="E188" s="290"/>
      <c r="F188" s="290"/>
      <c r="G188" s="290"/>
      <c r="H188" s="290"/>
      <c r="I188" s="7"/>
      <c r="J188"/>
      <c r="K188"/>
      <c r="L188"/>
    </row>
    <row r="189" spans="1:12" ht="15">
      <c r="A189" s="8" t="s">
        <v>60</v>
      </c>
      <c r="B189" s="266">
        <f>VLOOKUP(Vlookup!$B148,'CDCM Volume Forecasts'!$A$28:$AL$136,B$143,FALSE)</f>
        <v>86224.938174458686</v>
      </c>
      <c r="C189" s="266">
        <f>VLOOKUP(Vlookup!$B148,'CDCM Volume Forecasts'!$A$28:$AL$136,C$143,FALSE)</f>
        <v>626406.11625046073</v>
      </c>
      <c r="D189" s="266">
        <f>VLOOKUP(Vlookup!$B148,'CDCM Volume Forecasts'!$A$28:$AL$136,D$143,FALSE)</f>
        <v>551384.49934371735</v>
      </c>
      <c r="E189" s="266">
        <f>VLOOKUP(Vlookup!$B148,'CDCM Volume Forecasts'!$A$28:$AL$136,E$143,FALSE)</f>
        <v>6675.4921517207349</v>
      </c>
      <c r="F189" s="266">
        <f>VLOOKUP(Vlookup!$B148,'CDCM Volume Forecasts'!$A$28:$AL$136,F$143,FALSE)</f>
        <v>679119.46093167306</v>
      </c>
      <c r="G189" s="266">
        <f>VLOOKUP(Vlookup!$B148,'CDCM Volume Forecasts'!$A$28:$AL$136,G$143,FALSE)</f>
        <v>12059.509748296468</v>
      </c>
      <c r="H189" s="266">
        <f>VLOOKUP(Vlookup!$B148,'CDCM Volume Forecasts'!$A$28:$AL$136,H$143,FALSE)</f>
        <v>78582.108886907372</v>
      </c>
      <c r="I189" s="7"/>
      <c r="J189"/>
      <c r="K189"/>
      <c r="L189"/>
    </row>
    <row r="190" spans="1:12" ht="15">
      <c r="A190" s="8" t="s">
        <v>132</v>
      </c>
      <c r="B190" s="266">
        <f>VLOOKUP(Vlookup!$B149,'CDCM Volume Forecasts'!$A$28:$AL$136,B$143,FALSE)</f>
        <v>26.670196333111619</v>
      </c>
      <c r="C190" s="266">
        <f>VLOOKUP(Vlookup!$B149,'CDCM Volume Forecasts'!$A$28:$AL$136,C$143,FALSE)</f>
        <v>184.90987519400832</v>
      </c>
      <c r="D190" s="266">
        <f>VLOOKUP(Vlookup!$B149,'CDCM Volume Forecasts'!$A$28:$AL$136,D$143,FALSE)</f>
        <v>189.04909032529565</v>
      </c>
      <c r="E190" s="266">
        <f>VLOOKUP(Vlookup!$B149,'CDCM Volume Forecasts'!$A$28:$AL$136,E$143,FALSE)</f>
        <v>3.6487097119870446</v>
      </c>
      <c r="F190" s="266">
        <f>VLOOKUP(Vlookup!$B149,'CDCM Volume Forecasts'!$A$28:$AL$136,F$143,FALSE)</f>
        <v>385.20564657534248</v>
      </c>
      <c r="G190" s="266">
        <f>VLOOKUP(Vlookup!$B149,'CDCM Volume Forecasts'!$A$28:$AL$136,G$143,FALSE)</f>
        <v>0</v>
      </c>
      <c r="H190" s="266">
        <f>VLOOKUP(Vlookup!$B149,'CDCM Volume Forecasts'!$A$28:$AL$136,H$143,FALSE)</f>
        <v>38.893499255172415</v>
      </c>
      <c r="I190" s="7"/>
      <c r="J190"/>
      <c r="K190"/>
      <c r="L190"/>
    </row>
    <row r="191" spans="1:12" ht="15">
      <c r="A191" s="8" t="s">
        <v>133</v>
      </c>
      <c r="B191" s="266">
        <f>VLOOKUP(Vlookup!$B150,'CDCM Volume Forecasts'!$A$28:$AL$136,B$143,FALSE)</f>
        <v>3033.5166612945895</v>
      </c>
      <c r="C191" s="266">
        <f>VLOOKUP(Vlookup!$B150,'CDCM Volume Forecasts'!$A$28:$AL$136,C$143,FALSE)</f>
        <v>19778.444486303983</v>
      </c>
      <c r="D191" s="266">
        <f>VLOOKUP(Vlookup!$B150,'CDCM Volume Forecasts'!$A$28:$AL$136,D$143,FALSE)</f>
        <v>17104.938488611111</v>
      </c>
      <c r="E191" s="266">
        <f>VLOOKUP(Vlookup!$B150,'CDCM Volume Forecasts'!$A$28:$AL$136,E$143,FALSE)</f>
        <v>102.52944728092592</v>
      </c>
      <c r="F191" s="266">
        <f>VLOOKUP(Vlookup!$B150,'CDCM Volume Forecasts'!$A$28:$AL$136,F$143,FALSE)</f>
        <v>21251.928945205484</v>
      </c>
      <c r="G191" s="266">
        <f>VLOOKUP(Vlookup!$B150,'CDCM Volume Forecasts'!$A$28:$AL$136,G$143,FALSE)</f>
        <v>85.518659589041107</v>
      </c>
      <c r="H191" s="266">
        <f>VLOOKUP(Vlookup!$B150,'CDCM Volume Forecasts'!$A$28:$AL$136,H$143,FALSE)</f>
        <v>1726.2375684206897</v>
      </c>
      <c r="I191" s="7"/>
      <c r="J191"/>
      <c r="K191"/>
      <c r="L191"/>
    </row>
    <row r="192" spans="1:12" ht="15">
      <c r="A192" s="12" t="s">
        <v>134</v>
      </c>
      <c r="B192" s="290"/>
      <c r="C192" s="290"/>
      <c r="D192" s="290"/>
      <c r="E192" s="290"/>
      <c r="F192" s="290"/>
      <c r="G192" s="290"/>
      <c r="H192" s="290"/>
      <c r="I192" s="7"/>
      <c r="J192"/>
      <c r="K192"/>
      <c r="L192"/>
    </row>
    <row r="193" spans="1:12" ht="15">
      <c r="A193" s="8" t="s">
        <v>61</v>
      </c>
      <c r="B193" s="266">
        <f>VLOOKUP(Vlookup!$B152,'CDCM Volume Forecasts'!$A$28:$AL$136,B$143,FALSE)</f>
        <v>49864.368371854573</v>
      </c>
      <c r="C193" s="266">
        <f>VLOOKUP(Vlookup!$B152,'CDCM Volume Forecasts'!$A$28:$AL$136,C$143,FALSE)</f>
        <v>369689.81514963449</v>
      </c>
      <c r="D193" s="266">
        <f>VLOOKUP(Vlookup!$B152,'CDCM Volume Forecasts'!$A$28:$AL$136,D$143,FALSE)</f>
        <v>340515.48335188109</v>
      </c>
      <c r="E193" s="266">
        <f>VLOOKUP(Vlookup!$B152,'CDCM Volume Forecasts'!$A$28:$AL$136,E$143,FALSE)</f>
        <v>1936.9854039786185</v>
      </c>
      <c r="F193" s="266">
        <f>VLOOKUP(Vlookup!$B152,'CDCM Volume Forecasts'!$A$28:$AL$136,F$143,FALSE)</f>
        <v>364556.94204575109</v>
      </c>
      <c r="G193" s="266">
        <f>VLOOKUP(Vlookup!$B152,'CDCM Volume Forecasts'!$A$28:$AL$136,G$143,FALSE)</f>
        <v>5286.8109888675162</v>
      </c>
      <c r="H193" s="266">
        <f>VLOOKUP(Vlookup!$B152,'CDCM Volume Forecasts'!$A$28:$AL$136,H$143,FALSE)</f>
        <v>65191.59809982658</v>
      </c>
      <c r="I193" s="7"/>
      <c r="J193"/>
      <c r="K193"/>
      <c r="L193"/>
    </row>
    <row r="194" spans="1:12" ht="15">
      <c r="A194" s="8" t="s">
        <v>135</v>
      </c>
      <c r="B194" s="266">
        <f>VLOOKUP(Vlookup!$B153,'CDCM Volume Forecasts'!$A$28:$AL$136,B$143,FALSE)</f>
        <v>7.3537928980044374</v>
      </c>
      <c r="C194" s="266">
        <f>VLOOKUP(Vlookup!$B153,'CDCM Volume Forecasts'!$A$28:$AL$136,C$143,FALSE)</f>
        <v>37.820208493355103</v>
      </c>
      <c r="D194" s="266">
        <f>VLOOKUP(Vlookup!$B153,'CDCM Volume Forecasts'!$A$28:$AL$136,D$143,FALSE)</f>
        <v>52.294666737338311</v>
      </c>
      <c r="E194" s="266">
        <f>VLOOKUP(Vlookup!$B153,'CDCM Volume Forecasts'!$A$28:$AL$136,E$143,FALSE)</f>
        <v>1.1758993150684933</v>
      </c>
      <c r="F194" s="266">
        <f>VLOOKUP(Vlookup!$B153,'CDCM Volume Forecasts'!$A$28:$AL$136,F$143,FALSE)</f>
        <v>626.75433493150683</v>
      </c>
      <c r="G194" s="266">
        <f>VLOOKUP(Vlookup!$B153,'CDCM Volume Forecasts'!$A$28:$AL$136,G$143,FALSE)</f>
        <v>0</v>
      </c>
      <c r="H194" s="266">
        <f>VLOOKUP(Vlookup!$B153,'CDCM Volume Forecasts'!$A$28:$AL$136,H$143,FALSE)</f>
        <v>1.4026004999999999</v>
      </c>
      <c r="I194" s="7"/>
      <c r="J194"/>
      <c r="K194"/>
      <c r="L194"/>
    </row>
    <row r="195" spans="1:12" ht="15">
      <c r="A195" s="12" t="s">
        <v>136</v>
      </c>
      <c r="B195" s="290"/>
      <c r="C195" s="290"/>
      <c r="D195" s="290"/>
      <c r="E195" s="290"/>
      <c r="F195" s="290"/>
      <c r="G195" s="290"/>
      <c r="H195" s="290"/>
      <c r="I195" s="7"/>
      <c r="J195"/>
      <c r="K195"/>
      <c r="L195"/>
    </row>
    <row r="196" spans="1:12" ht="15">
      <c r="A196" s="8" t="s">
        <v>73</v>
      </c>
      <c r="B196" s="266">
        <f>VLOOKUP(Vlookup!$B155,'CDCM Volume Forecasts'!$A$28:$AL$136,B$143,FALSE)</f>
        <v>153504.23635739877</v>
      </c>
      <c r="C196" s="266">
        <f>VLOOKUP(Vlookup!$B155,'CDCM Volume Forecasts'!$A$28:$AL$136,C$143,FALSE)</f>
        <v>1093420.3303867856</v>
      </c>
      <c r="D196" s="266">
        <f>VLOOKUP(Vlookup!$B155,'CDCM Volume Forecasts'!$A$28:$AL$136,D$143,FALSE)</f>
        <v>1183755.4135911537</v>
      </c>
      <c r="E196" s="266">
        <f>VLOOKUP(Vlookup!$B155,'CDCM Volume Forecasts'!$A$28:$AL$136,E$143,FALSE)</f>
        <v>1060.270602740768</v>
      </c>
      <c r="F196" s="266">
        <f>VLOOKUP(Vlookup!$B155,'CDCM Volume Forecasts'!$A$28:$AL$136,F$143,FALSE)</f>
        <v>854296.8159186152</v>
      </c>
      <c r="G196" s="266">
        <f>VLOOKUP(Vlookup!$B155,'CDCM Volume Forecasts'!$A$28:$AL$136,G$143,FALSE)</f>
        <v>14165.401246932342</v>
      </c>
      <c r="H196" s="266">
        <f>VLOOKUP(Vlookup!$B155,'CDCM Volume Forecasts'!$A$28:$AL$136,H$143,FALSE)</f>
        <v>163805.20245465485</v>
      </c>
      <c r="I196" s="7"/>
      <c r="J196"/>
      <c r="K196"/>
      <c r="L196"/>
    </row>
    <row r="197" spans="1:12" ht="15">
      <c r="A197" s="8" t="s">
        <v>137</v>
      </c>
      <c r="B197" s="266">
        <f>VLOOKUP(Vlookup!$B156,'CDCM Volume Forecasts'!$A$28:$AL$136,B$143,FALSE)</f>
        <v>835.56520149345931</v>
      </c>
      <c r="C197" s="266">
        <f>VLOOKUP(Vlookup!$B156,'CDCM Volume Forecasts'!$A$28:$AL$136,C$143,FALSE)</f>
        <v>5354.5554566887531</v>
      </c>
      <c r="D197" s="266">
        <f>VLOOKUP(Vlookup!$B156,'CDCM Volume Forecasts'!$A$28:$AL$136,D$143,FALSE)</f>
        <v>7404.6287378891438</v>
      </c>
      <c r="E197" s="266">
        <f>VLOOKUP(Vlookup!$B156,'CDCM Volume Forecasts'!$A$28:$AL$136,E$143,FALSE)</f>
        <v>7.7141773972602756</v>
      </c>
      <c r="F197" s="266">
        <f>VLOOKUP(Vlookup!$B156,'CDCM Volume Forecasts'!$A$28:$AL$136,F$143,FALSE)</f>
        <v>12519.13216438356</v>
      </c>
      <c r="G197" s="266">
        <f>VLOOKUP(Vlookup!$B156,'CDCM Volume Forecasts'!$A$28:$AL$136,G$143,FALSE)</f>
        <v>0</v>
      </c>
      <c r="H197" s="266">
        <f>VLOOKUP(Vlookup!$B156,'CDCM Volume Forecasts'!$A$28:$AL$136,H$143,FALSE)</f>
        <v>256.52510143448279</v>
      </c>
      <c r="I197" s="7"/>
      <c r="J197"/>
      <c r="K197"/>
      <c r="L197"/>
    </row>
    <row r="198" spans="1:12" ht="15">
      <c r="A198" s="12" t="s">
        <v>138</v>
      </c>
      <c r="B198" s="290"/>
      <c r="C198" s="290"/>
      <c r="D198" s="290"/>
      <c r="E198" s="290"/>
      <c r="F198" s="290"/>
      <c r="G198" s="290"/>
      <c r="H198" s="290"/>
      <c r="I198" s="7"/>
      <c r="J198"/>
      <c r="K198"/>
      <c r="L198"/>
    </row>
    <row r="199" spans="1:12" ht="15">
      <c r="A199" s="8" t="s">
        <v>93</v>
      </c>
      <c r="B199" s="266">
        <f>VLOOKUP(Vlookup!$B158,'CDCM Volume Forecasts'!$A$28:$AL$136,B$143,FALSE)</f>
        <v>10121.811870412395</v>
      </c>
      <c r="C199" s="292"/>
      <c r="D199" s="292"/>
      <c r="E199" s="266">
        <f>VLOOKUP(Vlookup!$B158,'CDCM Volume Forecasts'!$A$28:$AL$136,E$143,FALSE)</f>
        <v>741</v>
      </c>
      <c r="F199" s="292"/>
      <c r="G199" s="292"/>
      <c r="H199" s="292"/>
      <c r="I199" s="7"/>
      <c r="J199"/>
      <c r="K199"/>
      <c r="L199"/>
    </row>
    <row r="200" spans="1:12" ht="15">
      <c r="A200" s="8" t="s">
        <v>139</v>
      </c>
      <c r="B200" s="266">
        <f>VLOOKUP(Vlookup!$B159,'CDCM Volume Forecasts'!$A$28:$AL$136,B$143,FALSE)</f>
        <v>136.7981201637931</v>
      </c>
      <c r="C200" s="292"/>
      <c r="D200" s="292"/>
      <c r="E200" s="266">
        <f>VLOOKUP(Vlookup!$B159,'CDCM Volume Forecasts'!$A$28:$AL$136,E$143,FALSE)</f>
        <v>0</v>
      </c>
      <c r="F200" s="292"/>
      <c r="G200" s="292"/>
      <c r="H200" s="292"/>
      <c r="I200" s="7"/>
      <c r="J200"/>
      <c r="K200"/>
      <c r="L200"/>
    </row>
    <row r="201" spans="1:12" ht="15">
      <c r="A201" s="8" t="s">
        <v>140</v>
      </c>
      <c r="B201" s="266">
        <f>VLOOKUP(Vlookup!$B160,'CDCM Volume Forecasts'!$A$28:$AL$136,B$143,FALSE)</f>
        <v>23.736825</v>
      </c>
      <c r="C201" s="292"/>
      <c r="D201" s="292"/>
      <c r="E201" s="266">
        <f>VLOOKUP(Vlookup!$B160,'CDCM Volume Forecasts'!$A$28:$AL$136,E$143,FALSE)</f>
        <v>0</v>
      </c>
      <c r="F201" s="292"/>
      <c r="G201" s="292"/>
      <c r="H201" s="292"/>
      <c r="I201" s="7"/>
      <c r="J201"/>
      <c r="K201"/>
      <c r="L201"/>
    </row>
    <row r="202" spans="1:12" ht="15">
      <c r="A202" s="12" t="s">
        <v>141</v>
      </c>
      <c r="B202" s="290"/>
      <c r="C202" s="290"/>
      <c r="D202" s="290"/>
      <c r="E202" s="290"/>
      <c r="F202" s="290"/>
      <c r="G202" s="290"/>
      <c r="H202" s="290"/>
      <c r="I202" s="7"/>
      <c r="J202"/>
      <c r="K202"/>
      <c r="L202"/>
    </row>
    <row r="203" spans="1:12" ht="15">
      <c r="A203" s="8" t="s">
        <v>94</v>
      </c>
      <c r="B203" s="266">
        <f>VLOOKUP(Vlookup!$B162,'CDCM Volume Forecasts'!$A$28:$AL$136,B$143,FALSE)</f>
        <v>7712.9716131438981</v>
      </c>
      <c r="C203" s="292"/>
      <c r="D203" s="292"/>
      <c r="E203" s="266">
        <f>VLOOKUP(Vlookup!$B162,'CDCM Volume Forecasts'!$A$28:$AL$136,E$143,FALSE)</f>
        <v>689</v>
      </c>
      <c r="F203" s="292"/>
      <c r="G203" s="292"/>
      <c r="H203" s="292"/>
      <c r="I203" s="7"/>
      <c r="J203"/>
      <c r="K203"/>
      <c r="L203"/>
    </row>
    <row r="204" spans="1:12" ht="15">
      <c r="A204" s="8" t="s">
        <v>142</v>
      </c>
      <c r="B204" s="266">
        <f>VLOOKUP(Vlookup!$B163,'CDCM Volume Forecasts'!$A$28:$AL$136,B$143,FALSE)</f>
        <v>75.667019508620697</v>
      </c>
      <c r="C204" s="292"/>
      <c r="D204" s="292"/>
      <c r="E204" s="266">
        <f>VLOOKUP(Vlookup!$B163,'CDCM Volume Forecasts'!$A$28:$AL$136,E$143,FALSE)</f>
        <v>0</v>
      </c>
      <c r="F204" s="292"/>
      <c r="G204" s="292"/>
      <c r="H204" s="292"/>
      <c r="I204" s="7"/>
      <c r="J204"/>
      <c r="K204"/>
      <c r="L204"/>
    </row>
    <row r="205" spans="1:12" ht="15">
      <c r="A205" s="8" t="s">
        <v>143</v>
      </c>
      <c r="B205" s="266">
        <f>VLOOKUP(Vlookup!$B164,'CDCM Volume Forecasts'!$A$28:$AL$136,B$143,FALSE)</f>
        <v>301.33748599137931</v>
      </c>
      <c r="C205" s="292"/>
      <c r="D205" s="292"/>
      <c r="E205" s="266">
        <f>VLOOKUP(Vlookup!$B164,'CDCM Volume Forecasts'!$A$28:$AL$136,E$143,FALSE)</f>
        <v>0</v>
      </c>
      <c r="F205" s="292"/>
      <c r="G205" s="292"/>
      <c r="H205" s="292"/>
      <c r="I205" s="7"/>
      <c r="J205"/>
      <c r="K205"/>
      <c r="L205"/>
    </row>
    <row r="206" spans="1:12" ht="15">
      <c r="A206" s="12" t="s">
        <v>144</v>
      </c>
      <c r="B206" s="290"/>
      <c r="C206" s="290"/>
      <c r="D206" s="290"/>
      <c r="E206" s="290"/>
      <c r="F206" s="290"/>
      <c r="G206" s="290"/>
      <c r="H206" s="290"/>
      <c r="I206" s="7"/>
      <c r="J206"/>
      <c r="K206"/>
      <c r="L206"/>
    </row>
    <row r="207" spans="1:12" ht="15">
      <c r="A207" s="8" t="s">
        <v>95</v>
      </c>
      <c r="B207" s="266">
        <f>VLOOKUP(Vlookup!$B166,'CDCM Volume Forecasts'!$A$28:$AL$136,B$143,FALSE)</f>
        <v>989.1872895940935</v>
      </c>
      <c r="C207" s="292"/>
      <c r="D207" s="292"/>
      <c r="E207" s="266">
        <f>VLOOKUP(Vlookup!$B166,'CDCM Volume Forecasts'!$A$28:$AL$136,E$143,FALSE)</f>
        <v>179</v>
      </c>
      <c r="F207" s="292"/>
      <c r="G207" s="292"/>
      <c r="H207" s="292"/>
      <c r="I207" s="7"/>
      <c r="J207"/>
      <c r="K207"/>
      <c r="L207"/>
    </row>
    <row r="208" spans="1:12" ht="15">
      <c r="A208" s="8" t="s">
        <v>145</v>
      </c>
      <c r="B208" s="266">
        <f>VLOOKUP(Vlookup!$B167,'CDCM Volume Forecasts'!$A$28:$AL$136,B$143,FALSE)</f>
        <v>5.1353499568965537</v>
      </c>
      <c r="C208" s="292"/>
      <c r="D208" s="292"/>
      <c r="E208" s="266">
        <f>VLOOKUP(Vlookup!$B167,'CDCM Volume Forecasts'!$A$28:$AL$136,E$143,FALSE)</f>
        <v>0</v>
      </c>
      <c r="F208" s="292"/>
      <c r="G208" s="292"/>
      <c r="H208" s="292"/>
      <c r="I208" s="7"/>
      <c r="J208"/>
      <c r="K208"/>
      <c r="L208"/>
    </row>
    <row r="209" spans="1:12" ht="15">
      <c r="A209" s="8" t="s">
        <v>146</v>
      </c>
      <c r="B209" s="266">
        <f>VLOOKUP(Vlookup!$B168,'CDCM Volume Forecasts'!$A$28:$AL$136,B$143,FALSE)</f>
        <v>2.9883946810344835</v>
      </c>
      <c r="C209" s="292"/>
      <c r="D209" s="292"/>
      <c r="E209" s="266">
        <f>VLOOKUP(Vlookup!$B168,'CDCM Volume Forecasts'!$A$28:$AL$136,E$143,FALSE)</f>
        <v>0</v>
      </c>
      <c r="F209" s="292"/>
      <c r="G209" s="292"/>
      <c r="H209" s="292"/>
      <c r="I209" s="7"/>
      <c r="J209"/>
      <c r="K209"/>
      <c r="L209"/>
    </row>
    <row r="210" spans="1:12" ht="15">
      <c r="A210" s="12" t="s">
        <v>147</v>
      </c>
      <c r="B210" s="290"/>
      <c r="C210" s="290"/>
      <c r="D210" s="290"/>
      <c r="E210" s="290"/>
      <c r="F210" s="290"/>
      <c r="G210" s="290"/>
      <c r="H210" s="290"/>
      <c r="I210" s="7"/>
      <c r="J210"/>
      <c r="K210"/>
      <c r="L210"/>
    </row>
    <row r="211" spans="1:12" ht="15">
      <c r="A211" s="8" t="s">
        <v>96</v>
      </c>
      <c r="B211" s="266">
        <f>VLOOKUP(Vlookup!$B170,'CDCM Volume Forecasts'!$A$28:$AL$136,B$143,FALSE)</f>
        <v>0</v>
      </c>
      <c r="C211" s="292"/>
      <c r="D211" s="292"/>
      <c r="E211" s="266">
        <f>VLOOKUP(Vlookup!$B170,'CDCM Volume Forecasts'!$A$28:$AL$136,E$143,FALSE)</f>
        <v>1</v>
      </c>
      <c r="F211" s="292"/>
      <c r="G211" s="292"/>
      <c r="H211" s="292"/>
      <c r="I211" s="7"/>
      <c r="J211"/>
      <c r="K211"/>
      <c r="L211"/>
    </row>
    <row r="212" spans="1:12" ht="15">
      <c r="A212" s="8" t="s">
        <v>148</v>
      </c>
      <c r="B212" s="266">
        <f>VLOOKUP(Vlookup!$B171,'CDCM Volume Forecasts'!$A$28:$AL$136,B$143,FALSE)</f>
        <v>0</v>
      </c>
      <c r="C212" s="292"/>
      <c r="D212" s="292"/>
      <c r="E212" s="266">
        <f>VLOOKUP(Vlookup!$B171,'CDCM Volume Forecasts'!$A$28:$AL$136,E$143,FALSE)</f>
        <v>0</v>
      </c>
      <c r="F212" s="292"/>
      <c r="G212" s="292"/>
      <c r="H212" s="292"/>
      <c r="I212" s="7"/>
      <c r="J212"/>
      <c r="K212"/>
      <c r="L212"/>
    </row>
    <row r="213" spans="1:12" ht="15">
      <c r="A213" s="8" t="s">
        <v>149</v>
      </c>
      <c r="B213" s="266">
        <f>VLOOKUP(Vlookup!$B172,'CDCM Volume Forecasts'!$A$28:$AL$136,B$143,FALSE)</f>
        <v>0</v>
      </c>
      <c r="C213" s="292"/>
      <c r="D213" s="292"/>
      <c r="E213" s="266">
        <f>VLOOKUP(Vlookup!$B172,'CDCM Volume Forecasts'!$A$28:$AL$136,E$143,FALSE)</f>
        <v>0</v>
      </c>
      <c r="F213" s="292"/>
      <c r="G213" s="292"/>
      <c r="H213" s="292"/>
      <c r="I213" s="7"/>
      <c r="J213"/>
      <c r="K213"/>
      <c r="L213"/>
    </row>
    <row r="214" spans="1:12" ht="15">
      <c r="A214" s="12" t="s">
        <v>150</v>
      </c>
      <c r="B214" s="290"/>
      <c r="C214" s="290"/>
      <c r="D214" s="290"/>
      <c r="E214" s="290"/>
      <c r="F214" s="290"/>
      <c r="G214" s="290"/>
      <c r="H214" s="290"/>
      <c r="I214" s="7"/>
      <c r="J214"/>
      <c r="K214"/>
      <c r="L214"/>
    </row>
    <row r="215" spans="1:12" ht="15">
      <c r="A215" s="8" t="s">
        <v>97</v>
      </c>
      <c r="B215" s="266">
        <f>VLOOKUP(Vlookup!$B174,'CDCM Volume Forecasts'!$A$28:$AL$136,B$143,FALSE)</f>
        <v>4105.9859496450399</v>
      </c>
      <c r="C215" s="266">
        <f>VLOOKUP(Vlookup!$B174,'CDCM Volume Forecasts'!$A$28:$AL$136,C$143,FALSE)</f>
        <v>29544.034960210251</v>
      </c>
      <c r="D215" s="266">
        <f>VLOOKUP(Vlookup!$B174,'CDCM Volume Forecasts'!$A$28:$AL$136,D$143,FALSE)</f>
        <v>79785.804627936566</v>
      </c>
      <c r="E215" s="266">
        <f>VLOOKUP(Vlookup!$B174,'CDCM Volume Forecasts'!$A$28:$AL$136,E$143,FALSE)</f>
        <v>27.444162911866147</v>
      </c>
      <c r="F215" s="292"/>
      <c r="G215" s="292"/>
      <c r="H215" s="292"/>
      <c r="I215" s="7"/>
      <c r="J215"/>
      <c r="K215"/>
      <c r="L215"/>
    </row>
    <row r="216" spans="1:12" ht="15">
      <c r="A216" s="8" t="s">
        <v>151</v>
      </c>
      <c r="B216" s="266">
        <f>VLOOKUP(Vlookup!$B175,'CDCM Volume Forecasts'!$A$28:$AL$136,B$143,FALSE)</f>
        <v>0</v>
      </c>
      <c r="C216" s="266">
        <f>VLOOKUP(Vlookup!$B175,'CDCM Volume Forecasts'!$A$28:$AL$136,C$143,FALSE)</f>
        <v>0</v>
      </c>
      <c r="D216" s="266">
        <f>VLOOKUP(Vlookup!$B175,'CDCM Volume Forecasts'!$A$28:$AL$136,D$143,FALSE)</f>
        <v>0</v>
      </c>
      <c r="E216" s="266">
        <f>VLOOKUP(Vlookup!$B175,'CDCM Volume Forecasts'!$A$28:$AL$136,E$143,FALSE)</f>
        <v>0</v>
      </c>
      <c r="F216" s="292"/>
      <c r="G216" s="292"/>
      <c r="H216" s="292"/>
      <c r="I216" s="7"/>
      <c r="J216"/>
      <c r="K216"/>
      <c r="L216"/>
    </row>
    <row r="217" spans="1:12" ht="15">
      <c r="A217" s="8" t="s">
        <v>152</v>
      </c>
      <c r="B217" s="266">
        <f>VLOOKUP(Vlookup!$B176,'CDCM Volume Forecasts'!$A$28:$AL$136,B$143,FALSE)</f>
        <v>1.582648648170732</v>
      </c>
      <c r="C217" s="266">
        <f>VLOOKUP(Vlookup!$B176,'CDCM Volume Forecasts'!$A$28:$AL$136,C$143,FALSE)</f>
        <v>5.703542262359643</v>
      </c>
      <c r="D217" s="266">
        <f>VLOOKUP(Vlookup!$B176,'CDCM Volume Forecasts'!$A$28:$AL$136,D$143,FALSE)</f>
        <v>35.255484612621792</v>
      </c>
      <c r="E217" s="266">
        <f>VLOOKUP(Vlookup!$B176,'CDCM Volume Forecasts'!$A$28:$AL$136,E$143,FALSE)</f>
        <v>1.1758993150684933</v>
      </c>
      <c r="F217" s="292"/>
      <c r="G217" s="292"/>
      <c r="H217" s="292"/>
      <c r="I217" s="7"/>
      <c r="J217"/>
      <c r="K217"/>
      <c r="L217"/>
    </row>
    <row r="218" spans="1:12" ht="15">
      <c r="A218" s="288" t="s">
        <v>1179</v>
      </c>
      <c r="B218" s="290"/>
      <c r="C218" s="290"/>
      <c r="D218" s="290"/>
      <c r="E218" s="290"/>
      <c r="F218" s="290"/>
      <c r="G218" s="290"/>
      <c r="H218" s="290"/>
      <c r="I218" s="7"/>
      <c r="J218"/>
      <c r="K218"/>
      <c r="L218"/>
    </row>
    <row r="219" spans="1:12" ht="15">
      <c r="A219" s="285" t="s">
        <v>1176</v>
      </c>
      <c r="B219" s="266">
        <f>VLOOKUP(Vlookup!$B178,'CDCM Volume Forecasts'!$A$28:$AL$136,B$143,FALSE)</f>
        <v>3214.7578266896548</v>
      </c>
      <c r="C219" s="292"/>
      <c r="D219" s="292"/>
      <c r="E219" s="266">
        <f>VLOOKUP(Vlookup!$B178,'CDCM Volume Forecasts'!$A$28:$AL$136,E$143,FALSE)</f>
        <v>286</v>
      </c>
      <c r="F219" s="292"/>
      <c r="G219" s="292"/>
      <c r="H219" s="292"/>
      <c r="I219" s="7"/>
      <c r="J219"/>
      <c r="K219"/>
      <c r="L219"/>
    </row>
    <row r="220" spans="1:12" ht="15">
      <c r="A220" s="285" t="s">
        <v>1173</v>
      </c>
      <c r="B220" s="266">
        <f>VLOOKUP(Vlookup!$B179,'CDCM Volume Forecasts'!$A$28:$AL$136,B$143,FALSE)</f>
        <v>132.89592165517243</v>
      </c>
      <c r="C220" s="292"/>
      <c r="D220" s="292"/>
      <c r="E220" s="266">
        <f>VLOOKUP(Vlookup!$B179,'CDCM Volume Forecasts'!$A$28:$AL$136,E$143,FALSE)</f>
        <v>0</v>
      </c>
      <c r="F220" s="292"/>
      <c r="G220" s="292"/>
      <c r="H220" s="292"/>
      <c r="I220" s="7"/>
      <c r="J220"/>
      <c r="K220"/>
      <c r="L220"/>
    </row>
    <row r="221" spans="1:12" ht="15">
      <c r="A221" s="285" t="s">
        <v>1170</v>
      </c>
      <c r="B221" s="266">
        <f>VLOOKUP(Vlookup!$B180,'CDCM Volume Forecasts'!$A$28:$AL$136,B$143,FALSE)</f>
        <v>0</v>
      </c>
      <c r="C221" s="292"/>
      <c r="D221" s="292"/>
      <c r="E221" s="266">
        <f>VLOOKUP(Vlookup!$B180,'CDCM Volume Forecasts'!$A$28:$AL$136,E$143,FALSE)</f>
        <v>0</v>
      </c>
      <c r="F221" s="292"/>
      <c r="G221" s="292"/>
      <c r="H221" s="292"/>
      <c r="I221" s="7"/>
      <c r="J221"/>
      <c r="K221"/>
      <c r="L221"/>
    </row>
    <row r="222" spans="1:12" ht="15">
      <c r="A222" s="288" t="s">
        <v>153</v>
      </c>
      <c r="B222" s="290"/>
      <c r="C222" s="290"/>
      <c r="D222" s="290"/>
      <c r="E222" s="290"/>
      <c r="F222" s="290"/>
      <c r="G222" s="290"/>
      <c r="H222" s="290"/>
      <c r="I222" s="7"/>
      <c r="J222"/>
      <c r="K222"/>
      <c r="L222"/>
    </row>
    <row r="223" spans="1:12" ht="15">
      <c r="A223" s="285" t="s">
        <v>62</v>
      </c>
      <c r="B223" s="266">
        <f>VLOOKUP(Vlookup!$B182,'CDCM Volume Forecasts'!$A$28:$AL$136,B$143,FALSE)</f>
        <v>92.074856879310332</v>
      </c>
      <c r="C223" s="292"/>
      <c r="D223" s="292"/>
      <c r="E223" s="266">
        <f>VLOOKUP(Vlookup!$B182,'CDCM Volume Forecasts'!$A$28:$AL$136,E$143,FALSE)</f>
        <v>1</v>
      </c>
      <c r="F223" s="292"/>
      <c r="G223" s="292"/>
      <c r="H223" s="292"/>
      <c r="I223" s="7"/>
      <c r="J223"/>
      <c r="K223"/>
      <c r="L223"/>
    </row>
    <row r="224" spans="1:12" ht="15">
      <c r="A224" s="285" t="s">
        <v>154</v>
      </c>
      <c r="B224" s="266">
        <f>VLOOKUP(Vlookup!$B183,'CDCM Volume Forecasts'!$A$28:$AL$136,B$143,FALSE)</f>
        <v>0</v>
      </c>
      <c r="C224" s="292"/>
      <c r="D224" s="292"/>
      <c r="E224" s="266">
        <f>VLOOKUP(Vlookup!$B183,'CDCM Volume Forecasts'!$A$28:$AL$136,E$143,FALSE)</f>
        <v>0</v>
      </c>
      <c r="F224" s="292"/>
      <c r="G224" s="292"/>
      <c r="H224" s="292"/>
      <c r="I224" s="7"/>
      <c r="J224"/>
      <c r="K224"/>
      <c r="L224"/>
    </row>
    <row r="225" spans="1:12" ht="15">
      <c r="A225" s="288" t="s">
        <v>155</v>
      </c>
      <c r="B225" s="290"/>
      <c r="C225" s="290"/>
      <c r="D225" s="290"/>
      <c r="E225" s="290"/>
      <c r="F225" s="290"/>
      <c r="G225" s="290"/>
      <c r="H225" s="290"/>
      <c r="I225" s="7"/>
      <c r="J225"/>
      <c r="K225"/>
      <c r="L225"/>
    </row>
    <row r="226" spans="1:12" ht="15">
      <c r="A226" s="285" t="s">
        <v>63</v>
      </c>
      <c r="B226" s="266">
        <f>VLOOKUP(Vlookup!$B185,'CDCM Volume Forecasts'!$A$28:$AL$136,B$143,FALSE)</f>
        <v>78529.095040948305</v>
      </c>
      <c r="C226" s="292"/>
      <c r="D226" s="292"/>
      <c r="E226" s="266">
        <f>VLOOKUP(Vlookup!$B185,'CDCM Volume Forecasts'!$A$28:$AL$136,E$143,FALSE)</f>
        <v>887.02632534246584</v>
      </c>
      <c r="F226" s="292"/>
      <c r="G226" s="292"/>
      <c r="H226" s="266">
        <f>VLOOKUP(Vlookup!$B185,'CDCM Volume Forecasts'!$A$28:$AL$136,H$143,FALSE)</f>
        <v>6221.8592215431045</v>
      </c>
      <c r="I226" s="7"/>
      <c r="J226"/>
      <c r="K226"/>
      <c r="L226"/>
    </row>
    <row r="227" spans="1:12" ht="15">
      <c r="A227" s="285" t="s">
        <v>156</v>
      </c>
      <c r="B227" s="266">
        <f>VLOOKUP(Vlookup!$B186,'CDCM Volume Forecasts'!$A$28:$AL$136,B$143,FALSE)</f>
        <v>0</v>
      </c>
      <c r="C227" s="292"/>
      <c r="D227" s="292"/>
      <c r="E227" s="266">
        <f>VLOOKUP(Vlookup!$B186,'CDCM Volume Forecasts'!$A$28:$AL$136,E$143,FALSE)</f>
        <v>0</v>
      </c>
      <c r="F227" s="292"/>
      <c r="G227" s="292"/>
      <c r="H227" s="266">
        <f>VLOOKUP(Vlookup!$B186,'CDCM Volume Forecasts'!$A$28:$AL$136,H$143,FALSE)</f>
        <v>0</v>
      </c>
      <c r="I227" s="7"/>
      <c r="J227"/>
      <c r="K227"/>
      <c r="L227"/>
    </row>
    <row r="228" spans="1:12" ht="15">
      <c r="A228" s="285" t="s">
        <v>157</v>
      </c>
      <c r="B228" s="266">
        <f>VLOOKUP(Vlookup!$B187,'CDCM Volume Forecasts'!$A$28:$AL$136,B$143,FALSE)</f>
        <v>1158.4981509517236</v>
      </c>
      <c r="C228" s="292"/>
      <c r="D228" s="292"/>
      <c r="E228" s="266">
        <f>VLOOKUP(Vlookup!$B187,'CDCM Volume Forecasts'!$A$28:$AL$136,E$143,FALSE)</f>
        <v>3.2634739726027386</v>
      </c>
      <c r="F228" s="292"/>
      <c r="G228" s="292"/>
      <c r="H228" s="266">
        <f>VLOOKUP(Vlookup!$B187,'CDCM Volume Forecasts'!$A$28:$AL$136,H$143,FALSE)</f>
        <v>14.619248242758623</v>
      </c>
      <c r="I228" s="7"/>
      <c r="J228"/>
      <c r="K228"/>
      <c r="L228"/>
    </row>
    <row r="229" spans="1:12" ht="15">
      <c r="A229" s="288" t="s">
        <v>1559</v>
      </c>
      <c r="B229" s="290"/>
      <c r="C229" s="290"/>
      <c r="D229" s="290"/>
      <c r="E229" s="290"/>
      <c r="F229" s="290"/>
      <c r="G229" s="290"/>
      <c r="H229" s="290"/>
      <c r="I229" s="7"/>
      <c r="J229"/>
      <c r="K229"/>
      <c r="L229"/>
    </row>
    <row r="230" spans="1:12" ht="15">
      <c r="A230" s="285" t="s">
        <v>1516</v>
      </c>
      <c r="B230" s="266">
        <f>VLOOKUP(Vlookup!$B189,'CDCM Volume Forecasts'!$A$28:$AL$136,B$143,FALSE)</f>
        <v>0</v>
      </c>
      <c r="C230" s="292"/>
      <c r="D230" s="292"/>
      <c r="E230" s="266">
        <f>VLOOKUP(Vlookup!$B189,'CDCM Volume Forecasts'!$A$28:$AL$136,E$143,FALSE)</f>
        <v>0</v>
      </c>
      <c r="F230" s="292"/>
      <c r="G230" s="292"/>
      <c r="H230" s="292"/>
      <c r="I230" s="7"/>
      <c r="J230"/>
      <c r="K230"/>
      <c r="L230"/>
    </row>
    <row r="231" spans="1:12" ht="15">
      <c r="A231" s="288" t="s">
        <v>158</v>
      </c>
      <c r="B231" s="290"/>
      <c r="C231" s="290"/>
      <c r="D231" s="290"/>
      <c r="E231" s="290"/>
      <c r="F231" s="290"/>
      <c r="G231" s="290"/>
      <c r="H231" s="290"/>
      <c r="I231" s="7"/>
      <c r="J231"/>
      <c r="K231"/>
      <c r="L231"/>
    </row>
    <row r="232" spans="1:12" ht="15">
      <c r="A232" s="285" t="s">
        <v>64</v>
      </c>
      <c r="B232" s="266">
        <f>VLOOKUP(Vlookup!$B191,'CDCM Volume Forecasts'!$A$28:$AL$136,B$143,FALSE)</f>
        <v>150.22435028789201</v>
      </c>
      <c r="C232" s="266">
        <f>VLOOKUP(Vlookup!$B191,'CDCM Volume Forecasts'!$A$28:$AL$136,C$143,FALSE)</f>
        <v>933.01718610068747</v>
      </c>
      <c r="D232" s="266">
        <f>VLOOKUP(Vlookup!$B191,'CDCM Volume Forecasts'!$A$28:$AL$136,D$143,FALSE)</f>
        <v>1215.9778554005959</v>
      </c>
      <c r="E232" s="266">
        <f>VLOOKUP(Vlookup!$B191,'CDCM Volume Forecasts'!$A$28:$AL$136,E$143,FALSE)</f>
        <v>16.428914383561644</v>
      </c>
      <c r="F232" s="292"/>
      <c r="G232" s="292"/>
      <c r="H232" s="266">
        <f>VLOOKUP(Vlookup!$B191,'CDCM Volume Forecasts'!$A$28:$AL$136,H$143,FALSE)</f>
        <v>631.56368132758632</v>
      </c>
      <c r="I232" s="7"/>
      <c r="J232"/>
      <c r="K232"/>
      <c r="L232"/>
    </row>
    <row r="233" spans="1:12" ht="15">
      <c r="A233" s="285" t="s">
        <v>159</v>
      </c>
      <c r="B233" s="266">
        <f>VLOOKUP(Vlookup!$B192,'CDCM Volume Forecasts'!$A$28:$AL$136,B$143,FALSE)</f>
        <v>0</v>
      </c>
      <c r="C233" s="266">
        <f>VLOOKUP(Vlookup!$B192,'CDCM Volume Forecasts'!$A$28:$AL$136,C$143,FALSE)</f>
        <v>0</v>
      </c>
      <c r="D233" s="266">
        <f>VLOOKUP(Vlookup!$B192,'CDCM Volume Forecasts'!$A$28:$AL$136,D$143,FALSE)</f>
        <v>0</v>
      </c>
      <c r="E233" s="266">
        <f>VLOOKUP(Vlookup!$B192,'CDCM Volume Forecasts'!$A$28:$AL$136,E$143,FALSE)</f>
        <v>0</v>
      </c>
      <c r="F233" s="292"/>
      <c r="G233" s="292"/>
      <c r="H233" s="266">
        <f>VLOOKUP(Vlookup!$B192,'CDCM Volume Forecasts'!$A$28:$AL$136,H$143,FALSE)</f>
        <v>0</v>
      </c>
      <c r="I233" s="7"/>
      <c r="J233"/>
      <c r="K233"/>
      <c r="L233"/>
    </row>
    <row r="234" spans="1:12" ht="15">
      <c r="A234" s="285" t="s">
        <v>160</v>
      </c>
      <c r="B234" s="266">
        <f>VLOOKUP(Vlookup!$B193,'CDCM Volume Forecasts'!$A$28:$AL$136,B$143,FALSE)</f>
        <v>0</v>
      </c>
      <c r="C234" s="266">
        <f>VLOOKUP(Vlookup!$B193,'CDCM Volume Forecasts'!$A$28:$AL$136,C$143,FALSE)</f>
        <v>0</v>
      </c>
      <c r="D234" s="266">
        <f>VLOOKUP(Vlookup!$B193,'CDCM Volume Forecasts'!$A$28:$AL$136,D$143,FALSE)</f>
        <v>0</v>
      </c>
      <c r="E234" s="266">
        <f>VLOOKUP(Vlookup!$B193,'CDCM Volume Forecasts'!$A$28:$AL$136,E$143,FALSE)</f>
        <v>0</v>
      </c>
      <c r="F234" s="292"/>
      <c r="G234" s="292"/>
      <c r="H234" s="266">
        <f>VLOOKUP(Vlookup!$B193,'CDCM Volume Forecasts'!$A$28:$AL$136,H$143,FALSE)</f>
        <v>0</v>
      </c>
      <c r="I234" s="7"/>
      <c r="J234"/>
      <c r="K234"/>
      <c r="L234"/>
    </row>
    <row r="235" spans="1:12" ht="15">
      <c r="A235" s="288" t="s">
        <v>1560</v>
      </c>
      <c r="B235" s="290"/>
      <c r="C235" s="290"/>
      <c r="D235" s="290"/>
      <c r="E235" s="290"/>
      <c r="F235" s="290"/>
      <c r="G235" s="290"/>
      <c r="H235" s="290"/>
      <c r="I235" s="7"/>
      <c r="J235"/>
      <c r="K235"/>
      <c r="L235"/>
    </row>
    <row r="236" spans="1:12" ht="15">
      <c r="A236" s="285" t="s">
        <v>1517</v>
      </c>
      <c r="B236" s="266">
        <f>VLOOKUP(Vlookup!$B195,'CDCM Volume Forecasts'!$A$28:$AL$136,B$143,FALSE)</f>
        <v>0</v>
      </c>
      <c r="C236" s="266">
        <f>VLOOKUP(Vlookup!$B195,'CDCM Volume Forecasts'!$A$28:$AL$136,C$143,FALSE)</f>
        <v>0</v>
      </c>
      <c r="D236" s="266">
        <f>VLOOKUP(Vlookup!$B195,'CDCM Volume Forecasts'!$A$28:$AL$136,D$143,FALSE)</f>
        <v>0</v>
      </c>
      <c r="E236" s="266">
        <f>VLOOKUP(Vlookup!$B195,'CDCM Volume Forecasts'!$A$28:$AL$136,E$143,FALSE)</f>
        <v>0</v>
      </c>
      <c r="F236" s="292"/>
      <c r="G236" s="292"/>
      <c r="H236" s="292"/>
      <c r="I236" s="7"/>
      <c r="J236"/>
      <c r="K236"/>
      <c r="L236"/>
    </row>
    <row r="237" spans="1:12" ht="15">
      <c r="A237" s="288" t="s">
        <v>161</v>
      </c>
      <c r="B237" s="290"/>
      <c r="C237" s="290"/>
      <c r="D237" s="290"/>
      <c r="E237" s="290"/>
      <c r="F237" s="290"/>
      <c r="G237" s="290"/>
      <c r="H237" s="290"/>
      <c r="I237" s="7"/>
      <c r="J237"/>
      <c r="K237"/>
      <c r="L237"/>
    </row>
    <row r="238" spans="1:12" ht="15">
      <c r="A238" s="285" t="s">
        <v>65</v>
      </c>
      <c r="B238" s="266">
        <f>VLOOKUP(Vlookup!$B197,'CDCM Volume Forecasts'!$A$28:$AL$136,B$143,FALSE)</f>
        <v>13040.742602439654</v>
      </c>
      <c r="C238" s="292"/>
      <c r="D238" s="292"/>
      <c r="E238" s="266">
        <f>VLOOKUP(Vlookup!$B197,'CDCM Volume Forecasts'!$A$28:$AL$136,E$143,FALSE)</f>
        <v>121.63811301369863</v>
      </c>
      <c r="F238" s="292"/>
      <c r="G238" s="292"/>
      <c r="H238" s="266">
        <f>VLOOKUP(Vlookup!$B197,'CDCM Volume Forecasts'!$A$28:$AL$136,H$143,FALSE)</f>
        <v>1632.6222186810344</v>
      </c>
      <c r="I238" s="7"/>
      <c r="J238"/>
      <c r="K238"/>
      <c r="L238"/>
    </row>
    <row r="239" spans="1:12" ht="15">
      <c r="A239" s="285" t="s">
        <v>162</v>
      </c>
      <c r="B239" s="266">
        <f>VLOOKUP(Vlookup!$B198,'CDCM Volume Forecasts'!$A$28:$AL$136,B$143,FALSE)</f>
        <v>0</v>
      </c>
      <c r="C239" s="292"/>
      <c r="D239" s="292"/>
      <c r="E239" s="266">
        <f>VLOOKUP(Vlookup!$B198,'CDCM Volume Forecasts'!$A$28:$AL$136,E$143,FALSE)</f>
        <v>0</v>
      </c>
      <c r="F239" s="292"/>
      <c r="G239" s="292"/>
      <c r="H239" s="266">
        <f>VLOOKUP(Vlookup!$B198,'CDCM Volume Forecasts'!$A$28:$AL$136,H$143,FALSE)</f>
        <v>0</v>
      </c>
      <c r="I239" s="7"/>
      <c r="J239"/>
      <c r="K239"/>
      <c r="L239"/>
    </row>
    <row r="240" spans="1:12" ht="15">
      <c r="A240" s="288" t="s">
        <v>1561</v>
      </c>
      <c r="B240" s="290"/>
      <c r="C240" s="290"/>
      <c r="D240" s="290"/>
      <c r="E240" s="290"/>
      <c r="F240" s="290"/>
      <c r="G240" s="290"/>
      <c r="H240" s="290"/>
      <c r="I240" s="7"/>
      <c r="J240"/>
      <c r="K240"/>
      <c r="L240"/>
    </row>
    <row r="241" spans="1:12" ht="15">
      <c r="A241" s="285" t="s">
        <v>1518</v>
      </c>
      <c r="B241" s="266">
        <f>VLOOKUP(Vlookup!$B200,'CDCM Volume Forecasts'!$A$28:$AL$136,B$143,FALSE)</f>
        <v>0</v>
      </c>
      <c r="C241" s="292"/>
      <c r="D241" s="292"/>
      <c r="E241" s="266">
        <f>VLOOKUP(Vlookup!$B200,'CDCM Volume Forecasts'!$A$28:$AL$136,E$143,FALSE)</f>
        <v>0</v>
      </c>
      <c r="F241" s="292"/>
      <c r="G241" s="292"/>
      <c r="H241" s="292"/>
      <c r="I241" s="7"/>
      <c r="J241"/>
      <c r="K241"/>
      <c r="L241"/>
    </row>
    <row r="242" spans="1:12" ht="15">
      <c r="A242" s="288" t="s">
        <v>163</v>
      </c>
      <c r="B242" s="290"/>
      <c r="C242" s="290"/>
      <c r="D242" s="290"/>
      <c r="E242" s="290"/>
      <c r="F242" s="290"/>
      <c r="G242" s="290"/>
      <c r="H242" s="290"/>
      <c r="I242" s="7"/>
      <c r="J242"/>
      <c r="K242"/>
      <c r="L242"/>
    </row>
    <row r="243" spans="1:12" ht="15">
      <c r="A243" s="285" t="s">
        <v>66</v>
      </c>
      <c r="B243" s="266">
        <f>VLOOKUP(Vlookup!$B202,'CDCM Volume Forecasts'!$A$28:$AL$136,B$143,FALSE)</f>
        <v>262.77834065563309</v>
      </c>
      <c r="C243" s="266">
        <f>VLOOKUP(Vlookup!$B202,'CDCM Volume Forecasts'!$A$28:$AL$136,C$143,FALSE)</f>
        <v>1416.430282521459</v>
      </c>
      <c r="D243" s="266">
        <f>VLOOKUP(Vlookup!$B202,'CDCM Volume Forecasts'!$A$28:$AL$136,D$143,FALSE)</f>
        <v>2413.7732126878327</v>
      </c>
      <c r="E243" s="266">
        <f>VLOOKUP(Vlookup!$B202,'CDCM Volume Forecasts'!$A$28:$AL$136,E$143,FALSE)</f>
        <v>12.478949999999999</v>
      </c>
      <c r="F243" s="292"/>
      <c r="G243" s="292"/>
      <c r="H243" s="266">
        <f>VLOOKUP(Vlookup!$B202,'CDCM Volume Forecasts'!$A$28:$AL$136,H$143,FALSE)</f>
        <v>606.8858033017242</v>
      </c>
      <c r="I243" s="7"/>
      <c r="J243"/>
      <c r="K243"/>
      <c r="L243"/>
    </row>
    <row r="244" spans="1:12" ht="15">
      <c r="A244" s="285" t="s">
        <v>164</v>
      </c>
      <c r="B244" s="266">
        <f>VLOOKUP(Vlookup!$B203,'CDCM Volume Forecasts'!$A$28:$AL$136,B$143,FALSE)</f>
        <v>0</v>
      </c>
      <c r="C244" s="266">
        <f>VLOOKUP(Vlookup!$B203,'CDCM Volume Forecasts'!$A$28:$AL$136,C$143,FALSE)</f>
        <v>0</v>
      </c>
      <c r="D244" s="266">
        <f>VLOOKUP(Vlookup!$B203,'CDCM Volume Forecasts'!$A$28:$AL$136,D$143,FALSE)</f>
        <v>0</v>
      </c>
      <c r="E244" s="266">
        <f>VLOOKUP(Vlookup!$B203,'CDCM Volume Forecasts'!$A$28:$AL$136,E$143,FALSE)</f>
        <v>0</v>
      </c>
      <c r="F244" s="292"/>
      <c r="G244" s="292"/>
      <c r="H244" s="266">
        <f>VLOOKUP(Vlookup!$B203,'CDCM Volume Forecasts'!$A$28:$AL$136,H$143,FALSE)</f>
        <v>0</v>
      </c>
      <c r="I244" s="7"/>
      <c r="J244"/>
      <c r="K244"/>
      <c r="L244"/>
    </row>
    <row r="245" spans="1:12" ht="15">
      <c r="A245" s="288" t="s">
        <v>1562</v>
      </c>
      <c r="B245" s="290"/>
      <c r="C245" s="290"/>
      <c r="D245" s="290"/>
      <c r="E245" s="290"/>
      <c r="F245" s="290"/>
      <c r="G245" s="290"/>
      <c r="H245" s="290"/>
      <c r="I245" s="7"/>
      <c r="J245"/>
      <c r="K245"/>
      <c r="L245"/>
    </row>
    <row r="246" spans="1:12" ht="15">
      <c r="A246" s="285" t="s">
        <v>1519</v>
      </c>
      <c r="B246" s="266">
        <f>VLOOKUP(Vlookup!$B205,'CDCM Volume Forecasts'!$A$28:$AL$136,B$143,FALSE)</f>
        <v>0</v>
      </c>
      <c r="C246" s="266">
        <f>VLOOKUP(Vlookup!$B205,'CDCM Volume Forecasts'!$A$28:$AL$136,C$143,FALSE)</f>
        <v>0</v>
      </c>
      <c r="D246" s="266">
        <f>VLOOKUP(Vlookup!$B205,'CDCM Volume Forecasts'!$A$28:$AL$136,D$143,FALSE)</f>
        <v>0</v>
      </c>
      <c r="E246" s="266">
        <f>VLOOKUP(Vlookup!$B205,'CDCM Volume Forecasts'!$A$28:$AL$136,E$143,FALSE)</f>
        <v>0</v>
      </c>
      <c r="F246" s="292"/>
      <c r="G246" s="292"/>
      <c r="H246" s="292"/>
      <c r="I246" s="7"/>
      <c r="J246"/>
      <c r="K246"/>
      <c r="L246"/>
    </row>
    <row r="247" spans="1:12" ht="15">
      <c r="A247" s="288" t="s">
        <v>165</v>
      </c>
      <c r="B247" s="290"/>
      <c r="C247" s="290"/>
      <c r="D247" s="290"/>
      <c r="E247" s="290"/>
      <c r="F247" s="290"/>
      <c r="G247" s="290"/>
      <c r="H247" s="290"/>
      <c r="I247" s="7"/>
      <c r="J247"/>
      <c r="K247"/>
      <c r="L247"/>
    </row>
    <row r="248" spans="1:12" ht="15">
      <c r="A248" s="285" t="s">
        <v>74</v>
      </c>
      <c r="B248" s="266">
        <f>VLOOKUP(Vlookup!$B207,'CDCM Volume Forecasts'!$A$28:$AL$136,B$143,FALSE)</f>
        <v>408798.58803053456</v>
      </c>
      <c r="C248" s="292"/>
      <c r="D248" s="292"/>
      <c r="E248" s="266">
        <f>VLOOKUP(Vlookup!$B207,'CDCM Volume Forecasts'!$A$28:$AL$136,E$143,FALSE)</f>
        <v>237.99717534246571</v>
      </c>
      <c r="F248" s="292"/>
      <c r="G248" s="292"/>
      <c r="H248" s="266">
        <f>VLOOKUP(Vlookup!$B207,'CDCM Volume Forecasts'!$A$28:$AL$136,H$143,FALSE)</f>
        <v>3870.4537602500009</v>
      </c>
      <c r="I248" s="7"/>
      <c r="J248"/>
      <c r="K248"/>
      <c r="L248"/>
    </row>
    <row r="249" spans="1:12" ht="15">
      <c r="A249" s="285" t="s">
        <v>166</v>
      </c>
      <c r="B249" s="266">
        <f>VLOOKUP(Vlookup!$B208,'CDCM Volume Forecasts'!$A$28:$AL$136,B$143,FALSE)</f>
        <v>28.965318951724136</v>
      </c>
      <c r="C249" s="292"/>
      <c r="D249" s="292"/>
      <c r="E249" s="266">
        <f>VLOOKUP(Vlookup!$B208,'CDCM Volume Forecasts'!$A$28:$AL$136,E$143,FALSE)</f>
        <v>1.9710246575342465</v>
      </c>
      <c r="F249" s="292"/>
      <c r="G249" s="292"/>
      <c r="H249" s="266">
        <f>VLOOKUP(Vlookup!$B208,'CDCM Volume Forecasts'!$A$28:$AL$136,H$143,FALSE)</f>
        <v>0</v>
      </c>
      <c r="I249" s="7"/>
      <c r="J249"/>
      <c r="K249"/>
      <c r="L249"/>
    </row>
    <row r="250" spans="1:12" ht="15">
      <c r="A250" s="288" t="s">
        <v>1563</v>
      </c>
      <c r="B250" s="290"/>
      <c r="C250" s="290"/>
      <c r="D250" s="290"/>
      <c r="E250" s="290"/>
      <c r="F250" s="290"/>
      <c r="G250" s="290"/>
      <c r="H250" s="290"/>
      <c r="I250" s="7"/>
      <c r="J250"/>
      <c r="K250"/>
      <c r="L250"/>
    </row>
    <row r="251" spans="1:12" ht="15">
      <c r="A251" s="285" t="s">
        <v>1520</v>
      </c>
      <c r="B251" s="266">
        <f>VLOOKUP(Vlookup!$B210,'CDCM Volume Forecasts'!$A$28:$AL$136,B$143,FALSE)</f>
        <v>0</v>
      </c>
      <c r="C251" s="292"/>
      <c r="D251" s="292"/>
      <c r="E251" s="266">
        <f>VLOOKUP(Vlookup!$B210,'CDCM Volume Forecasts'!$A$28:$AL$136,E$143,FALSE)</f>
        <v>0</v>
      </c>
      <c r="F251" s="292"/>
      <c r="G251" s="292"/>
      <c r="H251" s="292"/>
      <c r="I251" s="7"/>
      <c r="J251"/>
      <c r="K251"/>
      <c r="L251"/>
    </row>
    <row r="252" spans="1:12" ht="15">
      <c r="A252" s="288" t="s">
        <v>167</v>
      </c>
      <c r="B252" s="290"/>
      <c r="C252" s="290"/>
      <c r="D252" s="290"/>
      <c r="E252" s="290"/>
      <c r="F252" s="290"/>
      <c r="G252" s="290"/>
      <c r="H252" s="290"/>
      <c r="I252" s="7"/>
      <c r="J252"/>
      <c r="K252"/>
      <c r="L252"/>
    </row>
    <row r="253" spans="1:12" ht="15">
      <c r="A253" s="285" t="s">
        <v>75</v>
      </c>
      <c r="B253" s="266">
        <f>VLOOKUP(Vlookup!$B212,'CDCM Volume Forecasts'!$A$28:$AL$136,B$143,FALSE)</f>
        <v>18175.24295154327</v>
      </c>
      <c r="C253" s="266">
        <f>VLOOKUP(Vlookup!$B212,'CDCM Volume Forecasts'!$A$28:$AL$136,C$143,FALSE)</f>
        <v>96563.406957456726</v>
      </c>
      <c r="D253" s="266">
        <f>VLOOKUP(Vlookup!$B212,'CDCM Volume Forecasts'!$A$28:$AL$136,D$143,FALSE)</f>
        <v>133398.79562824525</v>
      </c>
      <c r="E253" s="266">
        <f>VLOOKUP(Vlookup!$B212,'CDCM Volume Forecasts'!$A$28:$AL$136,E$143,FALSE)</f>
        <v>70.943264383561655</v>
      </c>
      <c r="F253" s="292"/>
      <c r="G253" s="292"/>
      <c r="H253" s="266">
        <f>VLOOKUP(Vlookup!$B212,'CDCM Volume Forecasts'!$A$28:$AL$136,H$143,FALSE)</f>
        <v>2452.5003561982758</v>
      </c>
      <c r="I253" s="7"/>
      <c r="J253"/>
      <c r="K253"/>
      <c r="L253"/>
    </row>
    <row r="254" spans="1:12" ht="15">
      <c r="A254" s="285" t="s">
        <v>168</v>
      </c>
      <c r="B254" s="266">
        <f>VLOOKUP(Vlookup!$B213,'CDCM Volume Forecasts'!$A$28:$AL$136,B$143,FALSE)</f>
        <v>6.9664922394678516E-2</v>
      </c>
      <c r="C254" s="266">
        <f>VLOOKUP(Vlookup!$B213,'CDCM Volume Forecasts'!$A$28:$AL$136,C$143,FALSE)</f>
        <v>0.88856101305223611</v>
      </c>
      <c r="D254" s="266">
        <f>VLOOKUP(Vlookup!$B213,'CDCM Volume Forecasts'!$A$28:$AL$136,D$143,FALSE)</f>
        <v>2.9569237396821908</v>
      </c>
      <c r="E254" s="266">
        <f>VLOOKUP(Vlookup!$B213,'CDCM Volume Forecasts'!$A$28:$AL$136,E$143,FALSE)</f>
        <v>1.3382136986301367</v>
      </c>
      <c r="F254" s="292"/>
      <c r="G254" s="292"/>
      <c r="H254" s="266">
        <f>VLOOKUP(Vlookup!$B213,'CDCM Volume Forecasts'!$A$28:$AL$136,H$143,FALSE)</f>
        <v>0.9497207172413793</v>
      </c>
      <c r="I254" s="7"/>
      <c r="J254"/>
      <c r="K254"/>
      <c r="L254"/>
    </row>
    <row r="255" spans="1:12" ht="15">
      <c r="A255" s="288" t="s">
        <v>1564</v>
      </c>
      <c r="B255" s="290"/>
      <c r="C255" s="290"/>
      <c r="D255" s="290"/>
      <c r="E255" s="290"/>
      <c r="F255" s="290"/>
      <c r="G255" s="290"/>
      <c r="H255" s="290"/>
      <c r="I255" s="7"/>
      <c r="J255"/>
      <c r="K255"/>
      <c r="L255"/>
    </row>
    <row r="256" spans="1:12" ht="15">
      <c r="A256" s="285" t="s">
        <v>1521</v>
      </c>
      <c r="B256" s="266">
        <f>VLOOKUP(Vlookup!$B215,'CDCM Volume Forecasts'!$A$28:$AL$136,B$143,FALSE)</f>
        <v>0</v>
      </c>
      <c r="C256" s="266">
        <f>VLOOKUP(Vlookup!$B215,'CDCM Volume Forecasts'!$A$28:$AL$136,C$143,FALSE)</f>
        <v>0</v>
      </c>
      <c r="D256" s="266">
        <f>VLOOKUP(Vlookup!$B215,'CDCM Volume Forecasts'!$A$28:$AL$136,D$143,FALSE)</f>
        <v>0</v>
      </c>
      <c r="E256" s="266">
        <f>VLOOKUP(Vlookup!$B215,'CDCM Volume Forecasts'!$A$28:$AL$136,E$143,FALSE)</f>
        <v>0</v>
      </c>
      <c r="F256" s="292"/>
      <c r="G256" s="292"/>
      <c r="H256" s="292"/>
      <c r="I256" s="7"/>
      <c r="J256"/>
      <c r="K256"/>
      <c r="L256"/>
    </row>
    <row r="257" spans="1:11" ht="15">
      <c r="A257"/>
      <c r="B257"/>
      <c r="C257"/>
      <c r="D257"/>
      <c r="E257"/>
      <c r="F257"/>
      <c r="G257"/>
      <c r="H257"/>
      <c r="I257"/>
      <c r="J257"/>
      <c r="K257"/>
    </row>
    <row r="258" spans="1:11" ht="19.5">
      <c r="A258" s="1" t="s">
        <v>169</v>
      </c>
      <c r="B258"/>
      <c r="C258"/>
      <c r="D258"/>
      <c r="E258"/>
      <c r="F258"/>
      <c r="G258"/>
      <c r="H258"/>
      <c r="I258"/>
      <c r="J258"/>
      <c r="K258"/>
    </row>
    <row r="259" spans="1:11" ht="15">
      <c r="A259" s="2" t="s">
        <v>224</v>
      </c>
      <c r="B259"/>
      <c r="C259"/>
      <c r="D259"/>
      <c r="E259"/>
      <c r="F259"/>
      <c r="G259"/>
      <c r="H259"/>
      <c r="I259"/>
      <c r="J259"/>
      <c r="K259"/>
    </row>
    <row r="260" spans="1:11" ht="15">
      <c r="A260" t="s">
        <v>99</v>
      </c>
      <c r="B260"/>
      <c r="C260"/>
      <c r="D260"/>
      <c r="E260"/>
      <c r="F260"/>
      <c r="G260"/>
      <c r="H260"/>
      <c r="I260"/>
      <c r="J260"/>
      <c r="K260"/>
    </row>
    <row r="261" spans="1:11" ht="30">
      <c r="A261"/>
      <c r="B261" s="3" t="s">
        <v>170</v>
      </c>
      <c r="C261"/>
      <c r="D261"/>
      <c r="E261"/>
      <c r="F261"/>
      <c r="G261"/>
      <c r="H261"/>
      <c r="I261"/>
      <c r="J261"/>
      <c r="K261"/>
    </row>
    <row r="262" spans="1:11" ht="15">
      <c r="A262" s="8" t="s">
        <v>171</v>
      </c>
      <c r="B262" s="10">
        <f>VLOOKUP(Vlookup!B221,'CDCM Forecast Data'!$A$14:$I$271,8,FALSE)</f>
        <v>9850981.6322911773</v>
      </c>
      <c r="C262" s="7" t="s">
        <v>224</v>
      </c>
      <c r="D262"/>
      <c r="E262"/>
      <c r="F262"/>
      <c r="G262"/>
      <c r="H262"/>
      <c r="I262"/>
      <c r="J262"/>
      <c r="K262"/>
    </row>
    <row r="263" spans="1:11" ht="15">
      <c r="A263"/>
      <c r="B263"/>
      <c r="C263"/>
      <c r="D263"/>
      <c r="E263"/>
      <c r="F263"/>
      <c r="G263"/>
      <c r="H263"/>
      <c r="I263"/>
      <c r="J263"/>
      <c r="K263"/>
    </row>
    <row r="264" spans="1:11" ht="19.5">
      <c r="A264" s="1" t="s">
        <v>172</v>
      </c>
      <c r="B264"/>
      <c r="C264"/>
      <c r="D264"/>
      <c r="E264"/>
      <c r="F264"/>
      <c r="G264"/>
      <c r="H264"/>
      <c r="I264"/>
      <c r="J264"/>
      <c r="K264"/>
    </row>
    <row r="265" spans="1:11" ht="15">
      <c r="A265" t="s">
        <v>224</v>
      </c>
      <c r="B265"/>
      <c r="C265"/>
      <c r="D265"/>
      <c r="E265"/>
      <c r="F265"/>
      <c r="G265"/>
      <c r="H265"/>
      <c r="I265"/>
      <c r="J265"/>
      <c r="K265"/>
    </row>
    <row r="266" spans="1:11" ht="30">
      <c r="A266"/>
      <c r="B266" s="3" t="s">
        <v>173</v>
      </c>
      <c r="C266" s="3" t="s">
        <v>174</v>
      </c>
      <c r="D266" s="3" t="s">
        <v>175</v>
      </c>
      <c r="E266" s="3" t="s">
        <v>176</v>
      </c>
      <c r="F266"/>
      <c r="G266"/>
      <c r="H266"/>
      <c r="I266"/>
      <c r="J266"/>
      <c r="K266"/>
    </row>
    <row r="267" spans="1:11" ht="15">
      <c r="A267" s="8" t="s">
        <v>177</v>
      </c>
      <c r="B267" s="10">
        <f>VLOOKUP(Vlookup!B226,'CDCM Forecast Data'!$A$14:$I$271,8,FALSE)</f>
        <v>36898383.875597671</v>
      </c>
      <c r="C267" s="10">
        <f>VLOOKUP(Vlookup!C226,'CDCM Forecast Data'!$A$14:$I$271,8,FALSE)</f>
        <v>110346451.9246182</v>
      </c>
      <c r="D267" s="11">
        <f>VLOOKUP(Vlookup!D226,'CDCM Forecast Data'!$A$14:$I$271,8,FALSE)</f>
        <v>0.6</v>
      </c>
      <c r="E267" s="10">
        <f>VLOOKUP(Vlookup!E226,'CDCM Forecast Data'!$A$14:$I$271,8,FALSE)</f>
        <v>21149440</v>
      </c>
      <c r="F267" s="7" t="s">
        <v>224</v>
      </c>
      <c r="G267"/>
      <c r="H267"/>
      <c r="I267"/>
      <c r="J267"/>
      <c r="K267"/>
    </row>
    <row r="268" spans="1:11" ht="15">
      <c r="A268"/>
      <c r="B268"/>
      <c r="C268"/>
      <c r="D268"/>
      <c r="E268"/>
      <c r="F268"/>
      <c r="G268"/>
      <c r="H268"/>
      <c r="I268"/>
      <c r="J268"/>
      <c r="K268"/>
    </row>
    <row r="269" spans="1:11" ht="19.5">
      <c r="A269" s="1" t="s">
        <v>178</v>
      </c>
      <c r="B269"/>
      <c r="C269"/>
      <c r="D269"/>
      <c r="E269"/>
      <c r="F269"/>
      <c r="G269"/>
      <c r="H269"/>
      <c r="I269"/>
      <c r="J269"/>
      <c r="K269"/>
    </row>
    <row r="270" spans="1:11" ht="15">
      <c r="A270" s="2"/>
      <c r="B270"/>
      <c r="C270"/>
      <c r="D270"/>
      <c r="E270"/>
      <c r="F270"/>
      <c r="G270"/>
      <c r="H270"/>
      <c r="I270"/>
      <c r="J270"/>
      <c r="K270"/>
    </row>
    <row r="271" spans="1:11" ht="15">
      <c r="A271" s="2" t="s">
        <v>179</v>
      </c>
      <c r="B271"/>
      <c r="C271"/>
      <c r="D271"/>
      <c r="E271"/>
      <c r="F271"/>
      <c r="G271"/>
      <c r="H271"/>
      <c r="I271"/>
      <c r="J271"/>
      <c r="K271"/>
    </row>
    <row r="272" spans="1:11" ht="15">
      <c r="A272" s="2" t="s">
        <v>180</v>
      </c>
      <c r="B272"/>
      <c r="C272"/>
      <c r="D272"/>
      <c r="E272"/>
      <c r="F272"/>
      <c r="G272"/>
      <c r="H272"/>
      <c r="I272"/>
      <c r="J272"/>
      <c r="K272"/>
    </row>
    <row r="273" spans="1:11" ht="15">
      <c r="A273" t="s">
        <v>181</v>
      </c>
      <c r="B273"/>
      <c r="C273"/>
      <c r="D273"/>
      <c r="E273"/>
      <c r="F273"/>
      <c r="G273"/>
      <c r="H273"/>
      <c r="I273"/>
      <c r="J273"/>
      <c r="K273"/>
    </row>
    <row r="274" spans="1:11" ht="30">
      <c r="A274"/>
      <c r="B274" s="3" t="s">
        <v>182</v>
      </c>
      <c r="C274" s="3" t="s">
        <v>183</v>
      </c>
      <c r="D274" s="3" t="s">
        <v>184</v>
      </c>
      <c r="E274" s="3" t="s">
        <v>185</v>
      </c>
      <c r="F274" s="3" t="s">
        <v>186</v>
      </c>
      <c r="G274" s="3" t="s">
        <v>187</v>
      </c>
      <c r="H274" s="3" t="s">
        <v>188</v>
      </c>
      <c r="I274" s="3" t="s">
        <v>189</v>
      </c>
      <c r="J274"/>
      <c r="K274"/>
    </row>
    <row r="275" spans="1:11" ht="15">
      <c r="A275" s="8" t="s">
        <v>190</v>
      </c>
      <c r="B275" s="11">
        <f>VLOOKUP(Vlookup!B234,'CDCM Forecast Data'!$A$14:$I$271,8,FALSE)</f>
        <v>0</v>
      </c>
      <c r="C275" s="11">
        <f>VLOOKUP(Vlookup!C234,'CDCM Forecast Data'!$A$14:$I$271,8,FALSE)</f>
        <v>0</v>
      </c>
      <c r="D275" s="11">
        <f>VLOOKUP(Vlookup!D234,'CDCM Forecast Data'!$A$14:$I$271,8,FALSE)</f>
        <v>0</v>
      </c>
      <c r="E275" s="11">
        <f>VLOOKUP(Vlookup!E234,'CDCM Forecast Data'!$A$14:$I$271,8,FALSE)</f>
        <v>0.81</v>
      </c>
      <c r="F275" s="11">
        <f>VLOOKUP(Vlookup!F234,'CDCM Forecast Data'!$A$14:$I$271,8,FALSE)</f>
        <v>0</v>
      </c>
      <c r="G275" s="11">
        <f>VLOOKUP(Vlookup!G234,'CDCM Forecast Data'!$A$14:$I$271,8,FALSE)</f>
        <v>0.81</v>
      </c>
      <c r="H275" s="11">
        <f>VLOOKUP(Vlookup!H234,'CDCM Forecast Data'!$A$14:$I$271,8,FALSE)</f>
        <v>0.95</v>
      </c>
      <c r="I275" s="11">
        <f>VLOOKUP(Vlookup!I234,'CDCM Forecast Data'!$A$14:$I$271,8,FALSE)</f>
        <v>0.95</v>
      </c>
      <c r="J275" s="7" t="s">
        <v>224</v>
      </c>
      <c r="K275"/>
    </row>
    <row r="276" spans="1:11" ht="15">
      <c r="A276" s="8" t="s">
        <v>191</v>
      </c>
      <c r="B276" s="11">
        <f>VLOOKUP(Vlookup!B235,'CDCM Forecast Data'!$A$14:$I$271,8,FALSE)</f>
        <v>0</v>
      </c>
      <c r="C276" s="11">
        <f>VLOOKUP(Vlookup!C235,'CDCM Forecast Data'!$A$14:$I$271,8,FALSE)</f>
        <v>0</v>
      </c>
      <c r="D276" s="11">
        <f>VLOOKUP(Vlookup!D235,'CDCM Forecast Data'!$A$14:$I$271,8,FALSE)</f>
        <v>0</v>
      </c>
      <c r="E276" s="11">
        <f>VLOOKUP(Vlookup!E235,'CDCM Forecast Data'!$A$14:$I$271,8,FALSE)</f>
        <v>0.81</v>
      </c>
      <c r="F276" s="11">
        <f>VLOOKUP(Vlookup!F235,'CDCM Forecast Data'!$A$14:$I$271,8,FALSE)</f>
        <v>0</v>
      </c>
      <c r="G276" s="11">
        <f>VLOOKUP(Vlookup!G235,'CDCM Forecast Data'!$A$14:$I$271,8,FALSE)</f>
        <v>0.81</v>
      </c>
      <c r="H276" s="11">
        <f>VLOOKUP(Vlookup!H235,'CDCM Forecast Data'!$A$14:$I$271,8,FALSE)</f>
        <v>0.95</v>
      </c>
      <c r="I276" s="6"/>
      <c r="J276" s="7" t="s">
        <v>224</v>
      </c>
      <c r="K276"/>
    </row>
    <row r="277" spans="1:11" ht="15">
      <c r="A277" s="8" t="s">
        <v>192</v>
      </c>
      <c r="B277" s="11">
        <f>VLOOKUP(Vlookup!B236,'CDCM Forecast Data'!$A$14:$I$271,8,FALSE)</f>
        <v>0</v>
      </c>
      <c r="C277" s="11">
        <f>VLOOKUP(Vlookup!C236,'CDCM Forecast Data'!$A$14:$I$271,8,FALSE)</f>
        <v>0.67</v>
      </c>
      <c r="D277" s="11">
        <f>VLOOKUP(Vlookup!D236,'CDCM Forecast Data'!$A$14:$I$271,8,FALSE)</f>
        <v>0.67</v>
      </c>
      <c r="E277" s="11">
        <f>VLOOKUP(Vlookup!E236,'CDCM Forecast Data'!$A$14:$I$271,8,FALSE)</f>
        <v>1</v>
      </c>
      <c r="F277" s="11">
        <f>VLOOKUP(Vlookup!F236,'CDCM Forecast Data'!$A$14:$I$271,8,FALSE)</f>
        <v>0</v>
      </c>
      <c r="G277" s="11">
        <f>VLOOKUP(Vlookup!G236,'CDCM Forecast Data'!$A$14:$I$271,8,FALSE)</f>
        <v>1</v>
      </c>
      <c r="H277" s="6"/>
      <c r="I277" s="6"/>
      <c r="J277" s="7" t="s">
        <v>224</v>
      </c>
      <c r="K277"/>
    </row>
    <row r="278" spans="1:11" ht="15">
      <c r="A278" s="8" t="s">
        <v>193</v>
      </c>
      <c r="B278" s="11">
        <f>VLOOKUP(Vlookup!B237,'CDCM Forecast Data'!$A$14:$I$271,8,FALSE)</f>
        <v>0</v>
      </c>
      <c r="C278" s="11">
        <f>VLOOKUP(Vlookup!C237,'CDCM Forecast Data'!$A$14:$I$271,8,FALSE)</f>
        <v>0.67</v>
      </c>
      <c r="D278" s="11">
        <f>VLOOKUP(Vlookup!D237,'CDCM Forecast Data'!$A$14:$I$271,8,FALSE)</f>
        <v>0.67</v>
      </c>
      <c r="E278" s="11">
        <f>VLOOKUP(Vlookup!E237,'CDCM Forecast Data'!$A$14:$I$271,8,FALSE)</f>
        <v>1</v>
      </c>
      <c r="F278" s="6"/>
      <c r="G278" s="6"/>
      <c r="H278" s="6"/>
      <c r="I278" s="6"/>
      <c r="J278" s="7" t="s">
        <v>224</v>
      </c>
      <c r="K278"/>
    </row>
    <row r="279" spans="1:11" ht="15">
      <c r="A279"/>
      <c r="B279"/>
      <c r="C279"/>
      <c r="D279"/>
      <c r="E279"/>
      <c r="F279"/>
      <c r="G279"/>
      <c r="H279"/>
      <c r="I279"/>
      <c r="J279"/>
      <c r="K279"/>
    </row>
    <row r="280" spans="1:11" ht="19.5">
      <c r="A280" s="1" t="s">
        <v>194</v>
      </c>
      <c r="B280"/>
      <c r="C280"/>
      <c r="D280"/>
      <c r="E280"/>
      <c r="F280"/>
      <c r="G280"/>
      <c r="H280"/>
      <c r="I280"/>
      <c r="J280"/>
      <c r="K280"/>
    </row>
    <row r="281" spans="1:11" ht="15">
      <c r="A281"/>
      <c r="B281"/>
      <c r="C281"/>
      <c r="D281"/>
      <c r="E281"/>
      <c r="F281"/>
      <c r="G281"/>
      <c r="H281"/>
      <c r="I281"/>
      <c r="J281"/>
      <c r="K281"/>
    </row>
    <row r="282" spans="1:11" ht="15">
      <c r="A282"/>
      <c r="B282" s="3" t="s">
        <v>195</v>
      </c>
      <c r="C282" s="3" t="s">
        <v>196</v>
      </c>
      <c r="D282" s="3" t="s">
        <v>197</v>
      </c>
      <c r="E282"/>
      <c r="F282"/>
      <c r="G282"/>
      <c r="H282"/>
      <c r="I282"/>
      <c r="J282"/>
      <c r="K282"/>
    </row>
    <row r="283" spans="1:11" ht="15">
      <c r="A283" s="8" t="s">
        <v>54</v>
      </c>
      <c r="B283" s="11">
        <f>VLOOKUP(Vlookup!B247,'CDCM Forecast Data'!$A$14:$I$271,8,FALSE)</f>
        <v>8.8740200313094042E-2</v>
      </c>
      <c r="C283" s="11">
        <f>VLOOKUP(Vlookup!C247,'CDCM Forecast Data'!$A$14:$I$271,8,FALSE)</f>
        <v>0.46239559627820986</v>
      </c>
      <c r="D283" s="11">
        <f>VLOOKUP(Vlookup!D247,'CDCM Forecast Data'!$A$14:$I$271,8,FALSE)</f>
        <v>0.44886420340869609</v>
      </c>
      <c r="E283" s="7" t="s">
        <v>224</v>
      </c>
      <c r="F283"/>
      <c r="G283"/>
      <c r="H283"/>
      <c r="I283"/>
      <c r="J283"/>
      <c r="K283"/>
    </row>
    <row r="284" spans="1:11" ht="15">
      <c r="A284" s="8" t="s">
        <v>55</v>
      </c>
      <c r="B284" s="11">
        <f>VLOOKUP(Vlookup!B248,'CDCM Forecast Data'!$A$14:$I$271,8,FALSE)</f>
        <v>0.10751585240751205</v>
      </c>
      <c r="C284" s="11">
        <f>VLOOKUP(Vlookup!C248,'CDCM Forecast Data'!$A$14:$I$271,8,FALSE)</f>
        <v>0.53928993725192576</v>
      </c>
      <c r="D284" s="11">
        <f>VLOOKUP(Vlookup!D248,'CDCM Forecast Data'!$A$14:$I$271,8,FALSE)</f>
        <v>0.35319421034056231</v>
      </c>
      <c r="E284" s="7" t="s">
        <v>224</v>
      </c>
      <c r="F284"/>
      <c r="G284"/>
      <c r="H284"/>
      <c r="I284"/>
      <c r="J284"/>
      <c r="K284"/>
    </row>
    <row r="285" spans="1:11" ht="15">
      <c r="A285" s="8" t="s">
        <v>91</v>
      </c>
      <c r="B285" s="11">
        <f>VLOOKUP(Vlookup!B249,'CDCM Forecast Data'!$A$14:$I$271,8,FALSE)</f>
        <v>1.3467452839655742E-3</v>
      </c>
      <c r="C285" s="11">
        <f>VLOOKUP(Vlookup!C249,'CDCM Forecast Data'!$A$14:$I$271,8,FALSE)</f>
        <v>0.10870547020102579</v>
      </c>
      <c r="D285" s="11">
        <f>VLOOKUP(Vlookup!D249,'CDCM Forecast Data'!$A$14:$I$271,8,FALSE)</f>
        <v>0.88994778451500867</v>
      </c>
      <c r="E285" s="7"/>
      <c r="F285"/>
      <c r="G285"/>
      <c r="H285"/>
      <c r="I285"/>
      <c r="J285"/>
      <c r="K285"/>
    </row>
    <row r="286" spans="1:11" ht="15">
      <c r="A286" s="8" t="s">
        <v>56</v>
      </c>
      <c r="B286" s="11">
        <f>VLOOKUP(Vlookup!B250,'CDCM Forecast Data'!$A$14:$I$271,8,FALSE)</f>
        <v>6.26200465507879E-2</v>
      </c>
      <c r="C286" s="11">
        <f>VLOOKUP(Vlookup!C250,'CDCM Forecast Data'!$A$14:$I$271,8,FALSE)</f>
        <v>0.56596294840089356</v>
      </c>
      <c r="D286" s="11">
        <f>VLOOKUP(Vlookup!D250,'CDCM Forecast Data'!$A$14:$I$271,8,FALSE)</f>
        <v>0.37141700504831854</v>
      </c>
      <c r="E286" s="7"/>
      <c r="F286"/>
      <c r="G286"/>
      <c r="H286"/>
      <c r="I286"/>
      <c r="J286"/>
      <c r="K286"/>
    </row>
    <row r="287" spans="1:11" ht="15">
      <c r="A287" s="8" t="s">
        <v>57</v>
      </c>
      <c r="B287" s="11">
        <f>VLOOKUP(Vlookup!B251,'CDCM Forecast Data'!$A$14:$I$271,8,FALSE)</f>
        <v>8.1156541207900612E-2</v>
      </c>
      <c r="C287" s="11">
        <f>VLOOKUP(Vlookup!C251,'CDCM Forecast Data'!$A$14:$I$271,8,FALSE)</f>
        <v>0.63066077743340532</v>
      </c>
      <c r="D287" s="11">
        <f>VLOOKUP(Vlookup!D251,'CDCM Forecast Data'!$A$14:$I$271,8,FALSE)</f>
        <v>0.28818268135869413</v>
      </c>
      <c r="E287" s="7" t="s">
        <v>224</v>
      </c>
      <c r="F287"/>
      <c r="G287"/>
      <c r="H287"/>
      <c r="I287"/>
      <c r="J287"/>
      <c r="K287"/>
    </row>
    <row r="288" spans="1:11" ht="15">
      <c r="A288" s="8" t="s">
        <v>92</v>
      </c>
      <c r="B288" s="11">
        <f>VLOOKUP(Vlookup!B252,'CDCM Forecast Data'!$A$14:$I$271,8,FALSE)</f>
        <v>2.1108855935806684E-3</v>
      </c>
      <c r="C288" s="11">
        <f>VLOOKUP(Vlookup!C252,'CDCM Forecast Data'!$A$14:$I$271,8,FALSE)</f>
        <v>0.11802654892647897</v>
      </c>
      <c r="D288" s="11">
        <f>VLOOKUP(Vlookup!D252,'CDCM Forecast Data'!$A$14:$I$271,8,FALSE)</f>
        <v>0.87986256547994035</v>
      </c>
      <c r="E288" s="7" t="s">
        <v>224</v>
      </c>
      <c r="F288"/>
      <c r="G288"/>
      <c r="H288"/>
      <c r="I288"/>
      <c r="J288"/>
      <c r="K288"/>
    </row>
    <row r="289" spans="1:11" ht="15">
      <c r="A289" s="8" t="s">
        <v>58</v>
      </c>
      <c r="B289" s="11">
        <f>VLOOKUP(Vlookup!B253,'CDCM Forecast Data'!$A$14:$I$271,8,FALSE)</f>
        <v>8.2970247934956221E-2</v>
      </c>
      <c r="C289" s="11">
        <f>VLOOKUP(Vlookup!C253,'CDCM Forecast Data'!$A$14:$I$271,8,FALSE)</f>
        <v>0.62036110080486229</v>
      </c>
      <c r="D289" s="11">
        <f>VLOOKUP(Vlookup!D253,'CDCM Forecast Data'!$A$14:$I$271,8,FALSE)</f>
        <v>0.29666865126018144</v>
      </c>
      <c r="E289" s="7" t="s">
        <v>224</v>
      </c>
      <c r="F289"/>
      <c r="G289"/>
      <c r="H289"/>
      <c r="I289"/>
      <c r="J289"/>
      <c r="K289"/>
    </row>
    <row r="290" spans="1:11" ht="15">
      <c r="A290" s="8" t="s">
        <v>59</v>
      </c>
      <c r="B290" s="11">
        <f>VLOOKUP(Vlookup!B254,'CDCM Forecast Data'!$A$14:$I$271,8,FALSE)</f>
        <v>8.1888603416870973E-2</v>
      </c>
      <c r="C290" s="11">
        <f>VLOOKUP(Vlookup!C254,'CDCM Forecast Data'!$A$14:$I$271,8,FALSE)</f>
        <v>0.61855839995261419</v>
      </c>
      <c r="D290" s="11">
        <f>VLOOKUP(Vlookup!D254,'CDCM Forecast Data'!$A$14:$I$271,8,FALSE)</f>
        <v>0.29955299663051482</v>
      </c>
      <c r="E290" s="7" t="s">
        <v>224</v>
      </c>
      <c r="F290"/>
      <c r="G290"/>
      <c r="H290"/>
      <c r="I290"/>
      <c r="J290"/>
      <c r="K290"/>
    </row>
    <row r="291" spans="1:11" ht="15">
      <c r="A291" s="8" t="s">
        <v>72</v>
      </c>
      <c r="B291" s="11">
        <f>VLOOKUP(Vlookup!B255,'CDCM Forecast Data'!$A$14:$I$271,8,FALSE)</f>
        <v>8.215022324053349E-2</v>
      </c>
      <c r="C291" s="11">
        <f>VLOOKUP(Vlookup!C255,'CDCM Forecast Data'!$A$14:$I$271,8,FALSE)</f>
        <v>0.63955866566854391</v>
      </c>
      <c r="D291" s="11">
        <f>VLOOKUP(Vlookup!D255,'CDCM Forecast Data'!$A$14:$I$271,8,FALSE)</f>
        <v>0.27829111109092258</v>
      </c>
      <c r="E291" s="7" t="s">
        <v>224</v>
      </c>
      <c r="F291"/>
      <c r="G291"/>
      <c r="H291"/>
      <c r="I291"/>
      <c r="J291"/>
      <c r="K291"/>
    </row>
    <row r="292" spans="1:11" ht="15">
      <c r="A292"/>
      <c r="B292"/>
      <c r="C292"/>
      <c r="D292"/>
      <c r="E292"/>
      <c r="F292"/>
      <c r="G292"/>
      <c r="H292"/>
      <c r="I292"/>
      <c r="J292"/>
      <c r="K292"/>
    </row>
    <row r="293" spans="1:11" ht="19.5">
      <c r="A293" s="1" t="s">
        <v>198</v>
      </c>
      <c r="B293"/>
      <c r="C293"/>
      <c r="D293"/>
      <c r="E293"/>
      <c r="F293"/>
      <c r="G293"/>
      <c r="H293"/>
      <c r="I293"/>
      <c r="J293"/>
      <c r="K293"/>
    </row>
    <row r="294" spans="1:11" ht="15">
      <c r="A294"/>
      <c r="B294"/>
      <c r="C294"/>
      <c r="D294"/>
      <c r="E294"/>
      <c r="F294"/>
      <c r="G294"/>
      <c r="H294"/>
      <c r="I294"/>
      <c r="J294"/>
      <c r="K294"/>
    </row>
    <row r="295" spans="1:11" ht="15">
      <c r="A295"/>
      <c r="B295" s="3" t="s">
        <v>195</v>
      </c>
      <c r="C295" s="3" t="s">
        <v>196</v>
      </c>
      <c r="D295" s="3" t="s">
        <v>197</v>
      </c>
      <c r="E295"/>
      <c r="F295"/>
      <c r="G295"/>
      <c r="H295"/>
      <c r="I295"/>
      <c r="J295"/>
      <c r="K295"/>
    </row>
    <row r="296" spans="1:11" ht="15">
      <c r="A296" s="8" t="s">
        <v>55</v>
      </c>
      <c r="B296" s="11">
        <f>VLOOKUP(Vlookup!B263,'CDCM Forecast Data'!$A$14:$I$271,8,FALSE)</f>
        <v>0</v>
      </c>
      <c r="C296" s="11">
        <f>VLOOKUP(Vlookup!C263,'CDCM Forecast Data'!$A$14:$I$271,8,FALSE)</f>
        <v>2.0980929821621391E-2</v>
      </c>
      <c r="D296" s="11">
        <f>VLOOKUP(Vlookup!D263,'CDCM Forecast Data'!$A$14:$I$271,8,FALSE)</f>
        <v>0.97901907017837864</v>
      </c>
      <c r="E296" s="7" t="s">
        <v>224</v>
      </c>
      <c r="F296"/>
      <c r="G296"/>
      <c r="H296"/>
      <c r="I296"/>
      <c r="J296"/>
      <c r="K296"/>
    </row>
    <row r="297" spans="1:11" ht="15">
      <c r="A297" s="8" t="s">
        <v>57</v>
      </c>
      <c r="B297" s="11">
        <f>VLOOKUP(Vlookup!B264,'CDCM Forecast Data'!$A$14:$I$271,8,FALSE)</f>
        <v>0</v>
      </c>
      <c r="C297" s="11">
        <f>VLOOKUP(Vlookup!C264,'CDCM Forecast Data'!$A$14:$I$271,8,FALSE)</f>
        <v>2.6444594802158033E-2</v>
      </c>
      <c r="D297" s="11">
        <f>VLOOKUP(Vlookup!D264,'CDCM Forecast Data'!$A$14:$I$271,8,FALSE)</f>
        <v>0.97355540519784201</v>
      </c>
      <c r="E297" s="7" t="s">
        <v>224</v>
      </c>
      <c r="F297"/>
      <c r="G297"/>
      <c r="H297"/>
      <c r="I297"/>
      <c r="J297"/>
      <c r="K297"/>
    </row>
    <row r="298" spans="1:11" ht="15">
      <c r="A298" s="8" t="s">
        <v>58</v>
      </c>
      <c r="B298" s="11">
        <f>VLOOKUP(Vlookup!B265,'CDCM Forecast Data'!$A$14:$I$271,8,FALSE)</f>
        <v>0</v>
      </c>
      <c r="C298" s="11">
        <f>VLOOKUP(Vlookup!C265,'CDCM Forecast Data'!$A$14:$I$271,8,FALSE)</f>
        <v>0</v>
      </c>
      <c r="D298" s="11">
        <f>VLOOKUP(Vlookup!D265,'CDCM Forecast Data'!$A$14:$I$271,8,FALSE)</f>
        <v>1</v>
      </c>
      <c r="E298" s="7" t="s">
        <v>224</v>
      </c>
      <c r="F298"/>
      <c r="G298"/>
      <c r="H298"/>
      <c r="I298"/>
      <c r="J298"/>
      <c r="K298"/>
    </row>
    <row r="299" spans="1:11" ht="15">
      <c r="A299" s="8" t="s">
        <v>59</v>
      </c>
      <c r="B299" s="11">
        <f>VLOOKUP(Vlookup!B266,'CDCM Forecast Data'!$A$14:$I$271,8,FALSE)</f>
        <v>0</v>
      </c>
      <c r="C299" s="11">
        <f>VLOOKUP(Vlookup!C266,'CDCM Forecast Data'!$A$14:$I$271,8,FALSE)</f>
        <v>0</v>
      </c>
      <c r="D299" s="11">
        <f>VLOOKUP(Vlookup!D266,'CDCM Forecast Data'!$A$14:$I$271,8,FALSE)</f>
        <v>1</v>
      </c>
      <c r="E299" s="7" t="s">
        <v>224</v>
      </c>
      <c r="F299"/>
      <c r="G299"/>
      <c r="H299"/>
      <c r="I299"/>
      <c r="J299"/>
      <c r="K299"/>
    </row>
    <row r="300" spans="1:11" ht="15">
      <c r="A300" s="8" t="s">
        <v>72</v>
      </c>
      <c r="B300" s="11">
        <f>VLOOKUP(Vlookup!B267,'CDCM Forecast Data'!$A$14:$I$271,8,FALSE)</f>
        <v>0</v>
      </c>
      <c r="C300" s="11">
        <f>VLOOKUP(Vlookup!C267,'CDCM Forecast Data'!$A$14:$I$271,8,FALSE)</f>
        <v>0</v>
      </c>
      <c r="D300" s="11">
        <f>VLOOKUP(Vlookup!D267,'CDCM Forecast Data'!$A$14:$I$271,8,FALSE)</f>
        <v>1</v>
      </c>
      <c r="E300" s="7" t="s">
        <v>224</v>
      </c>
      <c r="F300"/>
      <c r="G300"/>
      <c r="H300"/>
      <c r="I300"/>
      <c r="J300"/>
      <c r="K300"/>
    </row>
    <row r="301" spans="1:11" ht="15">
      <c r="A301"/>
      <c r="B301"/>
      <c r="C301"/>
      <c r="D301"/>
      <c r="E301"/>
      <c r="F301"/>
      <c r="G301"/>
      <c r="H301"/>
      <c r="I301"/>
      <c r="J301"/>
      <c r="K301"/>
    </row>
    <row r="302" spans="1:11" ht="19.5">
      <c r="A302" s="1" t="s">
        <v>199</v>
      </c>
      <c r="B302"/>
      <c r="C302"/>
      <c r="D302"/>
      <c r="E302"/>
      <c r="F302"/>
      <c r="G302"/>
      <c r="H302"/>
      <c r="I302"/>
      <c r="J302"/>
      <c r="K302"/>
    </row>
    <row r="303" spans="1:11" ht="15">
      <c r="A303"/>
      <c r="B303"/>
      <c r="C303"/>
      <c r="D303"/>
      <c r="E303"/>
      <c r="F303"/>
      <c r="G303"/>
      <c r="H303"/>
      <c r="I303"/>
      <c r="J303"/>
      <c r="K303"/>
    </row>
    <row r="304" spans="1:11" ht="15">
      <c r="A304"/>
      <c r="B304" s="3" t="s">
        <v>200</v>
      </c>
      <c r="C304" s="3" t="s">
        <v>201</v>
      </c>
      <c r="D304" s="3" t="s">
        <v>197</v>
      </c>
      <c r="E304" t="s">
        <v>224</v>
      </c>
      <c r="F304"/>
      <c r="G304"/>
      <c r="H304"/>
      <c r="I304"/>
      <c r="J304"/>
      <c r="K304"/>
    </row>
    <row r="305" spans="1:11" ht="15">
      <c r="A305" s="8" t="s">
        <v>93</v>
      </c>
      <c r="B305" s="11">
        <f>VLOOKUP(Vlookup!B272,'CDCM Forecast Data'!$A$14:$I$271,8,FALSE)</f>
        <v>1.7335795260789644E-2</v>
      </c>
      <c r="C305" s="11">
        <f>VLOOKUP(Vlookup!C272,'CDCM Forecast Data'!$A$14:$I$271,8,FALSE)</f>
        <v>0.4355228684781795</v>
      </c>
      <c r="D305" s="11">
        <f>VLOOKUP(Vlookup!D272,'CDCM Forecast Data'!$A$14:$I$271,8,FALSE)</f>
        <v>0.54714133626103079</v>
      </c>
      <c r="E305" s="7" t="s">
        <v>224</v>
      </c>
      <c r="F305"/>
      <c r="G305"/>
      <c r="H305"/>
      <c r="I305"/>
      <c r="J305"/>
      <c r="K305"/>
    </row>
    <row r="306" spans="1:11" ht="15">
      <c r="A306" s="8" t="s">
        <v>94</v>
      </c>
      <c r="B306" s="11">
        <f>VLOOKUP(Vlookup!B273,'CDCM Forecast Data'!$A$14:$I$271,8,FALSE)</f>
        <v>3.2847302717098244E-2</v>
      </c>
      <c r="C306" s="11">
        <f>VLOOKUP(Vlookup!C273,'CDCM Forecast Data'!$A$14:$I$271,8,FALSE)</f>
        <v>0.1517630105786926</v>
      </c>
      <c r="D306" s="11">
        <f>VLOOKUP(Vlookup!D273,'CDCM Forecast Data'!$A$14:$I$271,8,FALSE)</f>
        <v>0.81538968670420919</v>
      </c>
      <c r="E306" s="7" t="s">
        <v>224</v>
      </c>
      <c r="F306"/>
      <c r="G306"/>
      <c r="H306"/>
      <c r="I306"/>
      <c r="J306"/>
      <c r="K306"/>
    </row>
    <row r="307" spans="1:11" ht="15">
      <c r="A307" s="8" t="s">
        <v>95</v>
      </c>
      <c r="B307" s="11">
        <f>VLOOKUP(Vlookup!B274,'CDCM Forecast Data'!$A$14:$I$271,8,FALSE)</f>
        <v>5.9273595790326206E-2</v>
      </c>
      <c r="C307" s="11">
        <f>VLOOKUP(Vlookup!C274,'CDCM Forecast Data'!$A$14:$I$271,8,FALSE)</f>
        <v>0.24811484564374295</v>
      </c>
      <c r="D307" s="11">
        <f>VLOOKUP(Vlookup!D274,'CDCM Forecast Data'!$A$14:$I$271,8,FALSE)</f>
        <v>0.69261155856593071</v>
      </c>
      <c r="E307" s="7" t="s">
        <v>224</v>
      </c>
      <c r="F307"/>
      <c r="G307"/>
      <c r="H307"/>
      <c r="I307"/>
      <c r="J307"/>
      <c r="K307"/>
    </row>
    <row r="308" spans="1:11" ht="15">
      <c r="A308" s="8" t="s">
        <v>96</v>
      </c>
      <c r="B308" s="11">
        <f>VLOOKUP(Vlookup!B275,'CDCM Forecast Data'!$A$14:$I$271,8,FALSE)</f>
        <v>2.4492897224272499E-3</v>
      </c>
      <c r="C308" s="11">
        <f>VLOOKUP(Vlookup!C275,'CDCM Forecast Data'!$A$14:$I$271,8,FALSE)</f>
        <v>0.69957381670812457</v>
      </c>
      <c r="D308" s="11">
        <f>VLOOKUP(Vlookup!D275,'CDCM Forecast Data'!$A$14:$I$271,8,FALSE)</f>
        <v>0.29797689356944818</v>
      </c>
      <c r="E308" s="7" t="s">
        <v>224</v>
      </c>
      <c r="F308"/>
      <c r="G308"/>
      <c r="H308"/>
      <c r="I308"/>
      <c r="J308"/>
      <c r="K308"/>
    </row>
    <row r="309" spans="1:11" ht="15">
      <c r="A309"/>
      <c r="B309"/>
      <c r="C309"/>
      <c r="D309"/>
      <c r="E309"/>
      <c r="F309"/>
      <c r="G309"/>
      <c r="H309"/>
      <c r="I309"/>
      <c r="J309"/>
      <c r="K309"/>
    </row>
    <row r="310" spans="1:11" ht="19.5">
      <c r="A310" s="1" t="s">
        <v>202</v>
      </c>
      <c r="B310"/>
      <c r="C310"/>
      <c r="D310"/>
      <c r="E310"/>
      <c r="F310"/>
      <c r="G310"/>
      <c r="H310"/>
      <c r="I310"/>
      <c r="J310"/>
      <c r="K310"/>
    </row>
    <row r="311" spans="1:11" ht="15">
      <c r="A311" s="2" t="s">
        <v>203</v>
      </c>
      <c r="B311"/>
      <c r="C311"/>
      <c r="D311"/>
      <c r="E311"/>
      <c r="F311"/>
      <c r="G311"/>
      <c r="H311"/>
      <c r="I311"/>
      <c r="J311"/>
      <c r="K311"/>
    </row>
    <row r="312" spans="1:11" ht="15">
      <c r="A312" s="2" t="s">
        <v>204</v>
      </c>
      <c r="B312"/>
      <c r="C312"/>
      <c r="D312"/>
      <c r="E312"/>
      <c r="F312"/>
      <c r="G312"/>
      <c r="H312"/>
      <c r="I312"/>
      <c r="J312"/>
      <c r="K312"/>
    </row>
    <row r="313" spans="1:11" ht="15">
      <c r="A313"/>
      <c r="B313"/>
      <c r="C313"/>
      <c r="D313"/>
      <c r="E313"/>
      <c r="F313"/>
      <c r="G313"/>
      <c r="H313"/>
      <c r="I313"/>
      <c r="J313"/>
      <c r="K313"/>
    </row>
    <row r="314" spans="1:11" ht="15">
      <c r="A314"/>
      <c r="B314" s="3" t="s">
        <v>200</v>
      </c>
      <c r="C314" s="3" t="s">
        <v>201</v>
      </c>
      <c r="D314" s="3" t="s">
        <v>197</v>
      </c>
      <c r="E314"/>
      <c r="F314"/>
      <c r="G314"/>
      <c r="H314"/>
      <c r="I314"/>
      <c r="J314"/>
      <c r="K314"/>
    </row>
    <row r="315" spans="1:11" ht="15">
      <c r="A315" s="8" t="s">
        <v>205</v>
      </c>
      <c r="B315" s="14">
        <f>VLOOKUP(Vlookup!B282,'CDCM Forecast Data'!$A$14:$I$271,8,FALSE)</f>
        <v>152</v>
      </c>
      <c r="C315" s="14">
        <f>VLOOKUP(Vlookup!C282,'CDCM Forecast Data'!$A$14:$I$271,8,FALSE)</f>
        <v>3814</v>
      </c>
      <c r="D315" s="14">
        <f>VLOOKUP(Vlookup!D282,'CDCM Forecast Data'!$A$14:$I$271,8,FALSE)</f>
        <v>4794</v>
      </c>
      <c r="E315" s="7" t="s">
        <v>224</v>
      </c>
      <c r="F315"/>
      <c r="G315"/>
      <c r="H315"/>
      <c r="I315"/>
      <c r="J315"/>
      <c r="K315"/>
    </row>
    <row r="316" spans="1:11" ht="15">
      <c r="A316"/>
      <c r="B316"/>
      <c r="C316"/>
      <c r="D316"/>
      <c r="E316"/>
      <c r="F316"/>
      <c r="G316"/>
      <c r="H316"/>
      <c r="I316"/>
      <c r="J316"/>
      <c r="K316"/>
    </row>
    <row r="317" spans="1:11" ht="19.5">
      <c r="A317" s="1" t="s">
        <v>206</v>
      </c>
      <c r="B317"/>
      <c r="C317"/>
      <c r="D317"/>
      <c r="E317"/>
      <c r="F317"/>
      <c r="G317"/>
      <c r="H317"/>
      <c r="I317"/>
      <c r="J317"/>
      <c r="K317"/>
    </row>
    <row r="318" spans="1:11" ht="15">
      <c r="A318" s="2"/>
      <c r="B318"/>
      <c r="C318"/>
      <c r="D318"/>
      <c r="E318"/>
      <c r="F318"/>
      <c r="G318"/>
      <c r="H318"/>
      <c r="I318"/>
      <c r="J318"/>
      <c r="K318"/>
    </row>
    <row r="319" spans="1:11" ht="15">
      <c r="A319" s="2" t="s">
        <v>203</v>
      </c>
      <c r="B319"/>
      <c r="C319"/>
      <c r="D319"/>
      <c r="E319"/>
      <c r="F319"/>
      <c r="G319"/>
      <c r="H319"/>
      <c r="I319"/>
      <c r="J319"/>
      <c r="K319"/>
    </row>
    <row r="320" spans="1:11" ht="15">
      <c r="A320" t="s">
        <v>204</v>
      </c>
      <c r="B320"/>
      <c r="C320"/>
      <c r="D320"/>
      <c r="E320"/>
      <c r="F320"/>
      <c r="G320"/>
      <c r="H320"/>
      <c r="I320"/>
      <c r="J320"/>
      <c r="K320"/>
    </row>
    <row r="321" spans="1:11" ht="15">
      <c r="A321"/>
      <c r="B321" s="3" t="s">
        <v>195</v>
      </c>
      <c r="C321" s="3" t="s">
        <v>196</v>
      </c>
      <c r="D321" s="3" t="s">
        <v>197</v>
      </c>
      <c r="E321"/>
      <c r="F321"/>
      <c r="G321"/>
      <c r="H321"/>
      <c r="I321"/>
      <c r="J321"/>
      <c r="K321"/>
    </row>
    <row r="322" spans="1:11" ht="15">
      <c r="A322" s="8" t="s">
        <v>205</v>
      </c>
      <c r="B322" s="14">
        <f>VLOOKUP(Vlookup!B289,'CDCM Forecast Data'!$A$14:$I$271,8,FALSE)</f>
        <v>522</v>
      </c>
      <c r="C322" s="14">
        <f>VLOOKUP(Vlookup!C289,'CDCM Forecast Data'!$A$14:$I$271,8,FALSE)</f>
        <v>3444</v>
      </c>
      <c r="D322" s="14">
        <f>VLOOKUP(Vlookup!D289,'CDCM Forecast Data'!$A$14:$I$271,8,FALSE)</f>
        <v>4794</v>
      </c>
      <c r="E322" s="7" t="s">
        <v>224</v>
      </c>
      <c r="F322"/>
      <c r="G322"/>
      <c r="H322"/>
      <c r="I322"/>
      <c r="J322"/>
      <c r="K322"/>
    </row>
    <row r="323" spans="1:11" ht="15">
      <c r="A323"/>
      <c r="B323"/>
      <c r="C323"/>
      <c r="D323"/>
      <c r="E323"/>
      <c r="F323"/>
      <c r="G323"/>
      <c r="H323"/>
      <c r="I323"/>
      <c r="J323"/>
      <c r="K323"/>
    </row>
    <row r="324" spans="1:11" ht="19.5">
      <c r="A324" s="1" t="s">
        <v>207</v>
      </c>
      <c r="B324"/>
      <c r="C324"/>
      <c r="D324"/>
      <c r="E324"/>
      <c r="F324"/>
      <c r="G324"/>
      <c r="H324"/>
      <c r="I324"/>
      <c r="J324"/>
      <c r="K324"/>
    </row>
    <row r="325" spans="1:11" ht="15">
      <c r="A325" s="2"/>
      <c r="B325"/>
      <c r="C325"/>
      <c r="D325"/>
      <c r="E325"/>
      <c r="F325"/>
      <c r="G325"/>
      <c r="H325"/>
      <c r="I325"/>
      <c r="J325"/>
      <c r="K325"/>
    </row>
    <row r="326" spans="1:11" ht="15">
      <c r="A326"/>
      <c r="B326"/>
      <c r="C326"/>
      <c r="D326"/>
      <c r="E326"/>
      <c r="F326"/>
      <c r="G326"/>
      <c r="H326"/>
      <c r="I326"/>
      <c r="J326"/>
      <c r="K326"/>
    </row>
    <row r="327" spans="1:11" ht="15">
      <c r="A327" t="s">
        <v>208</v>
      </c>
      <c r="B327" s="15"/>
      <c r="C327" s="15"/>
      <c r="D327" s="15"/>
      <c r="E327"/>
      <c r="F327"/>
      <c r="G327"/>
      <c r="H327"/>
      <c r="I327"/>
      <c r="J327"/>
      <c r="K327"/>
    </row>
    <row r="328" spans="1:11" ht="15">
      <c r="A328"/>
      <c r="B328" s="3" t="s">
        <v>195</v>
      </c>
      <c r="C328" s="3" t="s">
        <v>196</v>
      </c>
      <c r="D328" s="3" t="s">
        <v>197</v>
      </c>
      <c r="E328" s="3" t="s">
        <v>200</v>
      </c>
      <c r="F328"/>
      <c r="G328"/>
      <c r="H328"/>
      <c r="I328"/>
      <c r="J328"/>
      <c r="K328"/>
    </row>
    <row r="329" spans="1:11" ht="15">
      <c r="A329" s="8" t="s">
        <v>22</v>
      </c>
      <c r="B329" s="11">
        <f>VLOOKUP(Vlookup!B295,'CDCM Forecast Data'!$A$14:$I$271,8,FALSE)</f>
        <v>1</v>
      </c>
      <c r="C329" s="11">
        <f>VLOOKUP(Vlookup!C295,'CDCM Forecast Data'!$A$14:$I$271,8,FALSE)</f>
        <v>0</v>
      </c>
      <c r="D329" s="11">
        <f>VLOOKUP(Vlookup!D295,'CDCM Forecast Data'!$A$14:$I$271,8,FALSE)</f>
        <v>0</v>
      </c>
      <c r="E329" s="11">
        <f>VLOOKUP(Vlookup!E295,'CDCM Forecast Data'!$A$14:$I$271,8,FALSE)</f>
        <v>0.92156483159064961</v>
      </c>
      <c r="F329" s="7" t="s">
        <v>224</v>
      </c>
      <c r="G329"/>
      <c r="H329"/>
      <c r="I329"/>
      <c r="J329"/>
      <c r="K329"/>
    </row>
    <row r="330" spans="1:11" ht="15">
      <c r="A330" s="8" t="s">
        <v>23</v>
      </c>
      <c r="B330" s="11">
        <f>VLOOKUP(Vlookup!B296,'CDCM Forecast Data'!$A$14:$I$271,8,FALSE)</f>
        <v>0.84421935577541152</v>
      </c>
      <c r="C330" s="11">
        <f>VLOOKUP(Vlookup!C296,'CDCM Forecast Data'!$A$14:$I$271,8,FALSE)</f>
        <v>9.0147705546417975E-2</v>
      </c>
      <c r="D330" s="11">
        <f>VLOOKUP(Vlookup!D296,'CDCM Forecast Data'!$A$14:$I$271,8,FALSE)</f>
        <v>6.5632938678170452E-2</v>
      </c>
      <c r="E330" s="11">
        <f>VLOOKUP(Vlookup!E296,'CDCM Forecast Data'!$A$14:$I$271,8,FALSE)</f>
        <v>0.8059370919906842</v>
      </c>
      <c r="F330" s="7" t="s">
        <v>224</v>
      </c>
      <c r="G330"/>
      <c r="H330"/>
      <c r="I330"/>
      <c r="J330"/>
      <c r="K330"/>
    </row>
    <row r="331" spans="1:11" ht="15">
      <c r="A331" s="8" t="s">
        <v>24</v>
      </c>
      <c r="B331" s="11">
        <f>VLOOKUP(Vlookup!B297,'CDCM Forecast Data'!$A$14:$I$271,8,FALSE)</f>
        <v>0.84421935577541152</v>
      </c>
      <c r="C331" s="11">
        <f>VLOOKUP(Vlookup!C297,'CDCM Forecast Data'!$A$14:$I$271,8,FALSE)</f>
        <v>9.0147705546417975E-2</v>
      </c>
      <c r="D331" s="11">
        <f>VLOOKUP(Vlookup!D297,'CDCM Forecast Data'!$A$14:$I$271,8,FALSE)</f>
        <v>6.5632938678170452E-2</v>
      </c>
      <c r="E331" s="11">
        <f>VLOOKUP(Vlookup!E297,'CDCM Forecast Data'!$A$14:$I$271,8,FALSE)</f>
        <v>0.8059370919906842</v>
      </c>
      <c r="F331" s="7" t="s">
        <v>224</v>
      </c>
      <c r="G331"/>
      <c r="H331"/>
      <c r="I331"/>
      <c r="J331"/>
      <c r="K331"/>
    </row>
    <row r="332" spans="1:11" ht="15">
      <c r="A332" s="8" t="s">
        <v>25</v>
      </c>
      <c r="B332" s="11">
        <f>VLOOKUP(Vlookup!B298,'CDCM Forecast Data'!$A$14:$I$271,8,FALSE)</f>
        <v>0.60266573066353191</v>
      </c>
      <c r="C332" s="11">
        <f>VLOOKUP(Vlookup!C298,'CDCM Forecast Data'!$A$14:$I$271,8,FALSE)</f>
        <v>0.31015129614903031</v>
      </c>
      <c r="D332" s="11">
        <f>VLOOKUP(Vlookup!D298,'CDCM Forecast Data'!$A$14:$I$271,8,FALSE)</f>
        <v>8.7182973187437854E-2</v>
      </c>
      <c r="E332" s="11">
        <f>VLOOKUP(Vlookup!E298,'CDCM Forecast Data'!$A$14:$I$271,8,FALSE)</f>
        <v>0.53548212993836886</v>
      </c>
      <c r="F332" s="7" t="s">
        <v>224</v>
      </c>
      <c r="G332"/>
      <c r="H332"/>
      <c r="I332"/>
      <c r="J332"/>
      <c r="K332"/>
    </row>
    <row r="333" spans="1:11" ht="15">
      <c r="A333" s="8" t="s">
        <v>26</v>
      </c>
      <c r="B333" s="11">
        <f>VLOOKUP(Vlookup!B299,'CDCM Forecast Data'!$A$14:$I$271,8,FALSE)</f>
        <v>0.60266573066353191</v>
      </c>
      <c r="C333" s="11">
        <f>VLOOKUP(Vlookup!C299,'CDCM Forecast Data'!$A$14:$I$271,8,FALSE)</f>
        <v>0.31015129614903031</v>
      </c>
      <c r="D333" s="11">
        <f>VLOOKUP(Vlookup!D299,'CDCM Forecast Data'!$A$14:$I$271,8,FALSE)</f>
        <v>8.7182973187437854E-2</v>
      </c>
      <c r="E333" s="11">
        <f>VLOOKUP(Vlookup!E299,'CDCM Forecast Data'!$A$14:$I$271,8,FALSE)</f>
        <v>0.53548212993836886</v>
      </c>
      <c r="F333" s="7" t="s">
        <v>224</v>
      </c>
      <c r="G333"/>
      <c r="H333"/>
      <c r="I333"/>
      <c r="J333"/>
      <c r="K333"/>
    </row>
    <row r="334" spans="1:11" ht="15">
      <c r="A334" s="8" t="s">
        <v>31</v>
      </c>
      <c r="B334" s="11">
        <f>VLOOKUP(Vlookup!B300,'CDCM Forecast Data'!$A$14:$I$271,8,FALSE)</f>
        <v>0.84421935577541152</v>
      </c>
      <c r="C334" s="11">
        <f>VLOOKUP(Vlookup!C300,'CDCM Forecast Data'!$A$14:$I$271,8,FALSE)</f>
        <v>9.0147705546417975E-2</v>
      </c>
      <c r="D334" s="11">
        <f>VLOOKUP(Vlookup!D300,'CDCM Forecast Data'!$A$14:$I$271,8,FALSE)</f>
        <v>6.5632938678170452E-2</v>
      </c>
      <c r="E334" s="11">
        <f>VLOOKUP(Vlookup!E300,'CDCM Forecast Data'!$A$14:$I$271,8,FALSE)</f>
        <v>0.8059370919906842</v>
      </c>
      <c r="F334" s="7" t="s">
        <v>224</v>
      </c>
      <c r="G334"/>
      <c r="H334"/>
      <c r="I334"/>
      <c r="J334"/>
      <c r="K334"/>
    </row>
    <row r="335" spans="1:11" ht="15">
      <c r="A335" s="8" t="s">
        <v>27</v>
      </c>
      <c r="B335" s="11">
        <f>VLOOKUP(Vlookup!B301,'CDCM Forecast Data'!$A$14:$I$271,8,FALSE)</f>
        <v>0.60266573066353191</v>
      </c>
      <c r="C335" s="11">
        <f>VLOOKUP(Vlookup!C301,'CDCM Forecast Data'!$A$14:$I$271,8,FALSE)</f>
        <v>0.31015129614903031</v>
      </c>
      <c r="D335" s="11">
        <f>VLOOKUP(Vlookup!D301,'CDCM Forecast Data'!$A$14:$I$271,8,FALSE)</f>
        <v>8.7182973187437854E-2</v>
      </c>
      <c r="E335" s="11">
        <f>VLOOKUP(Vlookup!E301,'CDCM Forecast Data'!$A$14:$I$271,8,FALSE)</f>
        <v>0.53548212993836886</v>
      </c>
      <c r="F335" s="7" t="s">
        <v>224</v>
      </c>
      <c r="G335"/>
      <c r="H335"/>
      <c r="I335"/>
      <c r="J335"/>
      <c r="K335"/>
    </row>
    <row r="336" spans="1:11" ht="15">
      <c r="A336" s="8" t="s">
        <v>28</v>
      </c>
      <c r="B336" s="11">
        <f>VLOOKUP(Vlookup!B302,'CDCM Forecast Data'!$A$14:$I$271,8,FALSE)</f>
        <v>0.60266573066353191</v>
      </c>
      <c r="C336" s="11">
        <f>VLOOKUP(Vlookup!C302,'CDCM Forecast Data'!$A$14:$I$271,8,FALSE)</f>
        <v>0.31015129614903031</v>
      </c>
      <c r="D336" s="11">
        <f>VLOOKUP(Vlookup!D302,'CDCM Forecast Data'!$A$14:$I$271,8,FALSE)</f>
        <v>8.7182973187437854E-2</v>
      </c>
      <c r="E336" s="11">
        <f>VLOOKUP(Vlookup!E302,'CDCM Forecast Data'!$A$14:$I$271,8,FALSE)</f>
        <v>0.53548212993836886</v>
      </c>
      <c r="F336" s="7" t="s">
        <v>224</v>
      </c>
      <c r="G336"/>
      <c r="H336"/>
      <c r="I336"/>
      <c r="J336"/>
      <c r="K336"/>
    </row>
    <row r="337" spans="1:11" ht="15">
      <c r="A337" s="8" t="s">
        <v>29</v>
      </c>
      <c r="B337" s="11">
        <f>VLOOKUP(Vlookup!B303,'CDCM Forecast Data'!$A$14:$I$271,8,FALSE)</f>
        <v>0.60266573066353191</v>
      </c>
      <c r="C337" s="11">
        <f>VLOOKUP(Vlookup!C303,'CDCM Forecast Data'!$A$14:$I$271,8,FALSE)</f>
        <v>0.31015129614903031</v>
      </c>
      <c r="D337" s="11">
        <f>VLOOKUP(Vlookup!D303,'CDCM Forecast Data'!$A$14:$I$271,8,FALSE)</f>
        <v>8.7182973187437854E-2</v>
      </c>
      <c r="E337" s="11">
        <f>VLOOKUP(Vlookup!E303,'CDCM Forecast Data'!$A$14:$I$271,8,FALSE)</f>
        <v>0.53548212993836886</v>
      </c>
      <c r="F337" s="7" t="s">
        <v>224</v>
      </c>
      <c r="G337"/>
      <c r="H337"/>
      <c r="I337"/>
      <c r="J337"/>
      <c r="K337"/>
    </row>
    <row r="338" spans="1:11" ht="15">
      <c r="A338"/>
      <c r="B338"/>
      <c r="C338"/>
      <c r="D338"/>
      <c r="E338"/>
      <c r="F338"/>
      <c r="G338"/>
      <c r="H338"/>
      <c r="I338"/>
      <c r="J338"/>
      <c r="K338"/>
    </row>
    <row r="339" spans="1:11" ht="19.5">
      <c r="A339" s="1" t="s">
        <v>1166</v>
      </c>
      <c r="B339"/>
      <c r="C339"/>
      <c r="D339"/>
      <c r="E339"/>
      <c r="F339"/>
      <c r="G339"/>
      <c r="H339"/>
      <c r="I339"/>
      <c r="J339"/>
      <c r="K339"/>
    </row>
    <row r="340" spans="1:11" ht="15">
      <c r="A340" s="2" t="s">
        <v>1165</v>
      </c>
      <c r="B340"/>
      <c r="C340"/>
      <c r="D340"/>
      <c r="E340"/>
      <c r="F340"/>
      <c r="G340"/>
      <c r="H340"/>
      <c r="I340"/>
      <c r="J340"/>
      <c r="K340"/>
    </row>
    <row r="341" spans="1:11" ht="15">
      <c r="A341"/>
      <c r="B341"/>
      <c r="C341"/>
      <c r="D341"/>
      <c r="E341"/>
      <c r="F341"/>
      <c r="G341"/>
      <c r="H341"/>
      <c r="I341"/>
      <c r="J341"/>
      <c r="K341"/>
    </row>
    <row r="342" spans="1:11" ht="30">
      <c r="A342"/>
      <c r="B342" s="3" t="s">
        <v>1164</v>
      </c>
      <c r="C342"/>
      <c r="D342"/>
      <c r="E342"/>
      <c r="F342"/>
      <c r="G342"/>
      <c r="H342"/>
      <c r="I342"/>
      <c r="J342"/>
      <c r="K342"/>
    </row>
    <row r="343" spans="1:11" ht="15">
      <c r="A343" s="8" t="s">
        <v>1164</v>
      </c>
      <c r="B343" s="10">
        <f>1000000*'Table 1'!I48</f>
        <v>366407879.91265011</v>
      </c>
      <c r="C343" s="7"/>
      <c r="D343"/>
      <c r="E343"/>
      <c r="F343"/>
      <c r="G343"/>
      <c r="H343"/>
      <c r="I343"/>
      <c r="J343"/>
      <c r="K343"/>
    </row>
    <row r="344" spans="1:11" ht="15">
      <c r="A344"/>
      <c r="B344"/>
      <c r="C344"/>
      <c r="D344"/>
      <c r="E344"/>
      <c r="F344"/>
      <c r="G344"/>
      <c r="H344"/>
      <c r="I344"/>
      <c r="J344"/>
      <c r="K344"/>
    </row>
    <row r="345" spans="1:11" ht="19.5">
      <c r="A345" s="1" t="s">
        <v>210</v>
      </c>
      <c r="B345"/>
      <c r="C345"/>
      <c r="D345"/>
      <c r="E345"/>
      <c r="F345"/>
      <c r="G345"/>
      <c r="H345"/>
      <c r="I345"/>
      <c r="J345"/>
      <c r="K345"/>
    </row>
    <row r="346" spans="1:11" ht="15">
      <c r="A346" s="2" t="s">
        <v>224</v>
      </c>
      <c r="B346"/>
      <c r="C346"/>
      <c r="D346"/>
      <c r="E346"/>
      <c r="F346"/>
      <c r="G346"/>
      <c r="H346"/>
      <c r="I346"/>
      <c r="J346"/>
      <c r="K346"/>
    </row>
    <row r="347" spans="1:11" ht="15">
      <c r="A347" s="2" t="s">
        <v>211</v>
      </c>
      <c r="B347"/>
      <c r="C347"/>
      <c r="D347"/>
      <c r="E347"/>
      <c r="F347"/>
      <c r="G347"/>
      <c r="H347"/>
      <c r="I347"/>
      <c r="J347"/>
      <c r="K347"/>
    </row>
    <row r="348" spans="1:11" ht="15">
      <c r="A348" t="s">
        <v>212</v>
      </c>
      <c r="B348"/>
      <c r="C348"/>
      <c r="D348"/>
      <c r="E348"/>
      <c r="F348"/>
      <c r="G348"/>
      <c r="H348"/>
      <c r="I348"/>
      <c r="J348"/>
      <c r="K348"/>
    </row>
    <row r="349" spans="1:11" ht="15">
      <c r="A349"/>
      <c r="B349" s="3" t="s">
        <v>22</v>
      </c>
      <c r="C349" s="3" t="s">
        <v>23</v>
      </c>
      <c r="D349" s="3" t="s">
        <v>24</v>
      </c>
      <c r="E349" s="3" t="s">
        <v>25</v>
      </c>
      <c r="F349" s="3" t="s">
        <v>26</v>
      </c>
      <c r="G349" s="3" t="s">
        <v>31</v>
      </c>
      <c r="H349" s="3" t="s">
        <v>27</v>
      </c>
      <c r="I349" s="3" t="s">
        <v>28</v>
      </c>
      <c r="J349" s="3" t="s">
        <v>29</v>
      </c>
      <c r="K349"/>
    </row>
    <row r="350" spans="1:11" ht="15">
      <c r="A350" s="8" t="s">
        <v>213</v>
      </c>
      <c r="B350" s="4">
        <f>VLOOKUP(Vlookup!B310,'CDCM Forecast Data'!$A$14:$I$271,8,FALSE)</f>
        <v>0.19278921811900199</v>
      </c>
      <c r="C350" s="4">
        <f>VLOOKUP(Vlookup!C310,'CDCM Forecast Data'!$A$14:$I$271,8,FALSE)</f>
        <v>0.19278921811900199</v>
      </c>
      <c r="D350" s="4">
        <f>VLOOKUP(Vlookup!D310,'CDCM Forecast Data'!$A$14:$I$271,8,FALSE)</f>
        <v>0.19278921811900199</v>
      </c>
      <c r="E350" s="4">
        <f>VLOOKUP(Vlookup!E310,'CDCM Forecast Data'!$A$14:$I$271,8,FALSE)</f>
        <v>0.19278921811900199</v>
      </c>
      <c r="F350" s="4">
        <f>VLOOKUP(Vlookup!F310,'CDCM Forecast Data'!$A$14:$I$271,8,FALSE)</f>
        <v>0.19278921811900199</v>
      </c>
      <c r="G350" s="4">
        <f>VLOOKUP(Vlookup!G310,'CDCM Forecast Data'!$A$14:$I$271,8,FALSE)</f>
        <v>0.19278921811900199</v>
      </c>
      <c r="H350" s="4">
        <f>VLOOKUP(Vlookup!H310,'CDCM Forecast Data'!$A$14:$I$271,8,FALSE)</f>
        <v>0.19278921811900199</v>
      </c>
      <c r="I350" s="4">
        <f>VLOOKUP(Vlookup!I310,'CDCM Forecast Data'!$A$14:$I$271,8,FALSE)</f>
        <v>0.19278921811900199</v>
      </c>
      <c r="J350" s="4">
        <f>VLOOKUP(Vlookup!J310,'CDCM Forecast Data'!$A$14:$I$271,8,FALSE)</f>
        <v>0.19278921811900199</v>
      </c>
      <c r="K350" s="7" t="s">
        <v>224</v>
      </c>
    </row>
  </sheetData>
  <dataValidations count="7">
    <dataValidation type="decimal" allowBlank="1" showInputMessage="1" showErrorMessage="1" error="The number in this cell must be between 0% and 100%." sqref="B94:I94 B68:I87 B99:F104">
      <formula1>0</formula1>
      <formula2>1</formula2>
    </dataValidation>
    <dataValidation type="decimal" allowBlank="1" showInputMessage="1" showErrorMessage="1" error="The LDNO discount must be between 0% and 100%." sqref="B116">
      <formula1>0</formula1>
      <formula2>1</formula2>
    </dataValidation>
    <dataValidation type="decimal" allowBlank="1" showInputMessage="1" showErrorMessage="1" error="The coincidence factor must be between 0% and 100%." sqref="B124 B127">
      <formula1>0</formula1>
      <formula2>1</formula2>
    </dataValidation>
    <dataValidation type="textLength" operator="equal" allowBlank="1" showInputMessage="1" showErrorMessage="1" error="This cell should remain blank." sqref="B225:H225 B229:H229 B231:H231 B235:H235 B237:H237 B240:H240 B242:H242 H226:H228 H232:H234 H238:H239 H243:H244 B243:E244 B218:H218 B148:H148 B152:H152 B214:H214 B210:H210 B206:H206 B202:H202 B184:H184 B180:H180 B178:H178 B176:H176 B169:B171 B168:H168 B164:H164 B160:H160 B156:H156 B222:H222 B149:B151 E149:E151 B153:C155 E153:E155 E157:E159 B157:B159 B161:B163 E161:E163 E165:E167 B165:C167 H253:H254 B173:C175 E169:E175 B177:C177 E177 B179:C179 E179 B181:E183 B185:E187 B188:H198 B199:B201 E199:E201 B203:B205 E203:E205 B207:B209 E207:E209 B211:B213 E211:E213 B215:E217 B219:B221 E219:E221 B223:B224 E223:E224 B226:B228 E226:E228 B230 E230 B232:E234 B236:E236 B238:B239 E238:E239 B241 E241 B245:H245 B247:H247 B250:H250 B252:H252 B255:H255 H248:H249 B246:E246 B253:E254 B248:B249 E248:E249 B251 E251 B256:E256 B172:D172 F172:H172">
      <formula1>0</formula1>
    </dataValidation>
    <dataValidation type="decimal" allowBlank="1" showInputMessage="1" showErrorMessage="1" errorTitle="Invalid customer contribution" error="The customer contribution must be a non-negative percentage value." sqref="I276:I278 F278:G278 H277:H278">
      <formula1>0</formula1>
      <formula2>4</formula2>
    </dataValidation>
    <dataValidation type="decimal" operator="greaterThanOrEqual" allowBlank="1" showInputMessage="1" showErrorMessage="1" errorTitle="Volume data error" error="The volume must be a non-negative number." sqref="F223:H224 C226:D228 F230:H230 F226:G228 F236:H236 F232:G234 F241:H241 F238:G239 F243:G244 C230:D230 C238:D239 C241:D241 F215:H217 F219:H221 F211:H213 F207:H209 F203:H205 F199:H201 D173:D175 D177 D179 F185:H187 F181:H183 F179:H179 F177:H177 F173:H175 F169:H171 D165:D167 F161:H163 C157:D159 F153:H155 C149:D151 F149:H151 D153:D155 F157:H159 C161:D163 F165:H167 C169:D171 C199:D201 C203:D205 C207:D209 C211:D213 C219:D221 C223:D224 F256:H256 F246:H246 F251:H251 F248:G249 C248:D249 C251:D251 F253:G254">
      <formula1>0</formula1>
    </dataValidation>
    <dataValidation type="decimal" operator="greaterThanOrEqual" allowBlank="1" showInputMessage="1" showErrorMessage="1" sqref="B343">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L350"/>
  <sheetViews>
    <sheetView showGridLines="0" workbookViewId="0">
      <selection activeCell="A4" sqref="A4:K350"/>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1128</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224</v>
      </c>
      <c r="B5"/>
      <c r="C5"/>
      <c r="D5"/>
      <c r="E5"/>
      <c r="F5"/>
      <c r="G5"/>
      <c r="H5"/>
      <c r="I5"/>
      <c r="J5"/>
      <c r="K5"/>
    </row>
    <row r="6" spans="1:11" ht="15">
      <c r="A6"/>
      <c r="B6" s="3" t="s">
        <v>1</v>
      </c>
      <c r="C6" s="3" t="s">
        <v>2</v>
      </c>
      <c r="D6" s="3" t="s">
        <v>3</v>
      </c>
      <c r="E6"/>
      <c r="F6"/>
      <c r="G6"/>
      <c r="H6"/>
      <c r="I6"/>
      <c r="J6"/>
      <c r="K6"/>
    </row>
    <row r="7" spans="1:11" ht="15">
      <c r="A7" s="8" t="s">
        <v>4</v>
      </c>
      <c r="B7" s="9">
        <f>VLOOKUP(Vlookup!B7,'CDCM Forecast Data'!$A$14:$I$271,9,FALSE)</f>
        <v>0</v>
      </c>
      <c r="C7" s="9">
        <f>VLOOKUP(Vlookup!C7,'CDCM Forecast Data'!$A$14:$I$271,9,FALSE)</f>
        <v>0</v>
      </c>
      <c r="D7" s="9">
        <f>VLOOKUP(Vlookup!D7,'CDCM Forecast Data'!$A$14:$I$271,9,FALSE)</f>
        <v>0</v>
      </c>
      <c r="E7" s="7" t="s">
        <v>224</v>
      </c>
      <c r="F7"/>
      <c r="G7"/>
      <c r="H7"/>
      <c r="I7"/>
      <c r="J7"/>
      <c r="K7"/>
    </row>
    <row r="8" spans="1:11" ht="15">
      <c r="A8"/>
      <c r="B8"/>
      <c r="C8"/>
      <c r="D8"/>
      <c r="E8"/>
      <c r="F8"/>
      <c r="G8"/>
      <c r="H8"/>
      <c r="I8"/>
      <c r="J8"/>
      <c r="K8"/>
    </row>
    <row r="9" spans="1:11" ht="19.5">
      <c r="A9" s="1" t="s">
        <v>7</v>
      </c>
      <c r="B9"/>
      <c r="C9"/>
      <c r="D9"/>
      <c r="E9"/>
      <c r="F9"/>
      <c r="G9"/>
      <c r="H9"/>
      <c r="I9"/>
      <c r="J9"/>
      <c r="K9"/>
    </row>
    <row r="10" spans="1:11" ht="15">
      <c r="A10" s="2"/>
      <c r="B10"/>
      <c r="C10"/>
      <c r="D10"/>
      <c r="E10"/>
      <c r="F10"/>
      <c r="G10"/>
      <c r="H10"/>
      <c r="I10"/>
      <c r="J10"/>
      <c r="K10"/>
    </row>
    <row r="11" spans="1:11" ht="15">
      <c r="A11" s="2" t="s">
        <v>8</v>
      </c>
      <c r="B11"/>
      <c r="C11"/>
      <c r="D11"/>
      <c r="E11"/>
      <c r="F11"/>
      <c r="G11"/>
      <c r="H11"/>
      <c r="I11"/>
      <c r="J11"/>
      <c r="K11"/>
    </row>
    <row r="12" spans="1:11" ht="15">
      <c r="A12" t="s">
        <v>9</v>
      </c>
      <c r="B12"/>
      <c r="C12"/>
      <c r="D12"/>
      <c r="E12"/>
      <c r="F12"/>
      <c r="G12"/>
      <c r="H12"/>
      <c r="I12"/>
      <c r="J12"/>
      <c r="K12"/>
    </row>
    <row r="13" spans="1:11" ht="45">
      <c r="A13"/>
      <c r="B13" s="3" t="s">
        <v>10</v>
      </c>
      <c r="C13" s="3" t="s">
        <v>11</v>
      </c>
      <c r="D13" s="3" t="s">
        <v>12</v>
      </c>
      <c r="E13" s="3" t="s">
        <v>13</v>
      </c>
      <c r="F13" s="3" t="s">
        <v>1050</v>
      </c>
      <c r="G13"/>
      <c r="H13"/>
      <c r="I13"/>
      <c r="J13"/>
      <c r="K13"/>
    </row>
    <row r="14" spans="1:11" ht="15">
      <c r="A14" s="8" t="s">
        <v>14</v>
      </c>
      <c r="B14" s="11">
        <f>VLOOKUP(Vlookup!B14,'CDCM Forecast Data'!$A$14:$I$271,9,FALSE)</f>
        <v>4.2099999999999999E-2</v>
      </c>
      <c r="C14" s="10">
        <f>VLOOKUP(Vlookup!C14,'CDCM Forecast Data'!$A$14:$I$271,9,FALSE)</f>
        <v>40</v>
      </c>
      <c r="D14" s="5"/>
      <c r="E14" s="4">
        <f>VLOOKUP(Vlookup!E14,'CDCM Forecast Data'!$A$14:$I$271,9,FALSE)</f>
        <v>0.95</v>
      </c>
      <c r="F14" s="10">
        <f>VLOOKUP(Vlookup!F14,'CDCM Forecast Data'!$A$14:$I$271,9,FALSE)</f>
        <v>365</v>
      </c>
      <c r="G14" s="7" t="s">
        <v>224</v>
      </c>
      <c r="H14"/>
      <c r="I14"/>
      <c r="J14"/>
      <c r="K14"/>
    </row>
    <row r="15" spans="1:11" ht="15">
      <c r="A15"/>
      <c r="B15"/>
      <c r="C15"/>
      <c r="D15"/>
      <c r="E15"/>
      <c r="F15"/>
      <c r="G15"/>
      <c r="H15"/>
      <c r="I15"/>
      <c r="J15"/>
      <c r="K15"/>
    </row>
    <row r="16" spans="1:11" ht="19.5">
      <c r="A16" s="1" t="s">
        <v>15</v>
      </c>
      <c r="B16"/>
      <c r="C16"/>
      <c r="D16"/>
      <c r="E16"/>
      <c r="F16"/>
      <c r="G16"/>
      <c r="H16"/>
      <c r="I16"/>
      <c r="J16"/>
      <c r="K16"/>
    </row>
    <row r="17" spans="1:11" ht="15">
      <c r="A17" s="2"/>
      <c r="B17"/>
      <c r="C17"/>
      <c r="D17"/>
      <c r="E17"/>
      <c r="F17"/>
      <c r="G17"/>
      <c r="H17"/>
      <c r="I17"/>
      <c r="J17"/>
      <c r="K17"/>
    </row>
    <row r="18" spans="1:11" ht="15">
      <c r="A18" s="2" t="s">
        <v>16</v>
      </c>
      <c r="B18"/>
      <c r="C18"/>
      <c r="D18"/>
      <c r="E18"/>
      <c r="F18"/>
      <c r="G18"/>
      <c r="H18"/>
      <c r="I18"/>
      <c r="J18"/>
      <c r="K18"/>
    </row>
    <row r="19" spans="1:11" ht="15">
      <c r="A19" s="2" t="s">
        <v>17</v>
      </c>
      <c r="B19"/>
      <c r="C19"/>
      <c r="D19"/>
      <c r="E19"/>
      <c r="F19"/>
      <c r="G19"/>
      <c r="H19"/>
      <c r="I19"/>
      <c r="J19"/>
      <c r="K19"/>
    </row>
    <row r="20" spans="1:11" ht="15">
      <c r="A20" s="2" t="s">
        <v>18</v>
      </c>
      <c r="B20"/>
      <c r="C20"/>
      <c r="D20"/>
      <c r="E20"/>
      <c r="F20"/>
      <c r="G20"/>
      <c r="H20"/>
      <c r="I20"/>
      <c r="J20"/>
      <c r="K20"/>
    </row>
    <row r="21" spans="1:11" ht="15">
      <c r="A21" s="2" t="s">
        <v>19</v>
      </c>
      <c r="B21"/>
      <c r="C21"/>
      <c r="D21"/>
      <c r="E21"/>
      <c r="F21"/>
      <c r="G21"/>
      <c r="H21"/>
      <c r="I21"/>
      <c r="J21"/>
      <c r="K21"/>
    </row>
    <row r="22" spans="1:11" ht="15">
      <c r="A22" t="s">
        <v>20</v>
      </c>
      <c r="B22"/>
      <c r="C22"/>
      <c r="D22"/>
      <c r="E22"/>
      <c r="F22"/>
      <c r="G22"/>
      <c r="H22"/>
      <c r="I22"/>
      <c r="J22"/>
      <c r="K22"/>
    </row>
    <row r="23" spans="1:11" ht="60">
      <c r="A23"/>
      <c r="B23" s="3" t="s">
        <v>21</v>
      </c>
      <c r="C23"/>
      <c r="D23"/>
      <c r="E23"/>
      <c r="F23"/>
      <c r="G23"/>
      <c r="H23"/>
      <c r="I23"/>
      <c r="J23"/>
      <c r="K23"/>
    </row>
    <row r="24" spans="1:11" ht="15">
      <c r="A24" s="8" t="s">
        <v>22</v>
      </c>
      <c r="B24" s="11">
        <f>VLOOKUP(Vlookup!B24,'CDCM Forecast Data'!$A$14:$I$271,9,FALSE)</f>
        <v>2.1999999999999999E-2</v>
      </c>
      <c r="C24" s="7" t="s">
        <v>224</v>
      </c>
      <c r="D24"/>
      <c r="E24"/>
      <c r="F24"/>
      <c r="G24"/>
      <c r="H24"/>
      <c r="I24"/>
      <c r="J24"/>
      <c r="K24"/>
    </row>
    <row r="25" spans="1:11" ht="15">
      <c r="A25" s="8" t="s">
        <v>23</v>
      </c>
      <c r="B25" s="11">
        <f>VLOOKUP(Vlookup!B25,'CDCM Forecast Data'!$A$14:$I$271,9,FALSE)</f>
        <v>3.1E-2</v>
      </c>
      <c r="C25" s="7" t="s">
        <v>224</v>
      </c>
      <c r="D25"/>
      <c r="E25"/>
      <c r="F25"/>
      <c r="G25"/>
      <c r="H25"/>
      <c r="I25"/>
      <c r="J25"/>
      <c r="K25"/>
    </row>
    <row r="26" spans="1:11" ht="15">
      <c r="A26" s="8" t="s">
        <v>24</v>
      </c>
      <c r="B26" s="6"/>
      <c r="C26" s="7" t="s">
        <v>224</v>
      </c>
      <c r="D26"/>
      <c r="E26"/>
      <c r="F26"/>
      <c r="G26"/>
      <c r="H26"/>
      <c r="I26"/>
      <c r="J26"/>
      <c r="K26"/>
    </row>
    <row r="27" spans="1:11" ht="15">
      <c r="A27" s="8" t="s">
        <v>25</v>
      </c>
      <c r="B27" s="11">
        <f>VLOOKUP(Vlookup!B27,'CDCM Forecast Data'!$A$14:$I$271,9,FALSE)</f>
        <v>7.4999999999999997E-2</v>
      </c>
      <c r="C27" s="7" t="s">
        <v>224</v>
      </c>
      <c r="D27"/>
      <c r="E27"/>
      <c r="F27"/>
      <c r="G27"/>
      <c r="H27"/>
      <c r="I27"/>
      <c r="J27"/>
      <c r="K27"/>
    </row>
    <row r="28" spans="1:11" ht="15">
      <c r="A28" s="8" t="s">
        <v>26</v>
      </c>
      <c r="B28" s="6"/>
      <c r="C28" s="7" t="s">
        <v>224</v>
      </c>
      <c r="D28"/>
      <c r="E28"/>
      <c r="F28"/>
      <c r="G28"/>
      <c r="H28"/>
      <c r="I28"/>
      <c r="J28"/>
      <c r="K28"/>
    </row>
    <row r="29" spans="1:11" ht="15">
      <c r="A29" s="8" t="s">
        <v>27</v>
      </c>
      <c r="B29" s="11">
        <f>VLOOKUP(Vlookup!B29,'CDCM Forecast Data'!$A$14:$I$271,9,FALSE)</f>
        <v>0.37</v>
      </c>
      <c r="C29" s="7" t="s">
        <v>224</v>
      </c>
      <c r="D29"/>
      <c r="E29"/>
      <c r="F29"/>
      <c r="G29"/>
      <c r="H29"/>
      <c r="I29"/>
      <c r="J29"/>
      <c r="K29"/>
    </row>
    <row r="30" spans="1:11" ht="15">
      <c r="A30" s="8" t="s">
        <v>28</v>
      </c>
      <c r="B30" s="6"/>
      <c r="C30" s="7" t="s">
        <v>224</v>
      </c>
      <c r="D30"/>
      <c r="E30"/>
      <c r="F30"/>
      <c r="G30"/>
      <c r="H30"/>
      <c r="I30"/>
      <c r="J30"/>
      <c r="K30"/>
    </row>
    <row r="31" spans="1:11" ht="15">
      <c r="A31" s="8" t="s">
        <v>29</v>
      </c>
      <c r="B31" s="6"/>
      <c r="C31" s="7" t="s">
        <v>224</v>
      </c>
      <c r="D31"/>
      <c r="E31"/>
      <c r="F31"/>
      <c r="G31"/>
      <c r="H31"/>
      <c r="I31"/>
      <c r="J31"/>
      <c r="K31"/>
    </row>
    <row r="32" spans="1:11" ht="15">
      <c r="A32"/>
      <c r="B32"/>
      <c r="C32"/>
      <c r="D32"/>
      <c r="E32"/>
      <c r="F32"/>
      <c r="G32"/>
      <c r="H32"/>
      <c r="I32"/>
      <c r="J32"/>
      <c r="K32"/>
    </row>
    <row r="33" spans="1:11" ht="19.5">
      <c r="A33" s="1" t="s">
        <v>30</v>
      </c>
      <c r="B33"/>
      <c r="C33"/>
      <c r="D33"/>
      <c r="E33"/>
      <c r="F33"/>
      <c r="G33"/>
      <c r="H33"/>
      <c r="I33"/>
      <c r="J33"/>
      <c r="K33"/>
    </row>
    <row r="34" spans="1:11" ht="15">
      <c r="A34" t="s">
        <v>224</v>
      </c>
      <c r="B34"/>
      <c r="C34"/>
      <c r="D34"/>
      <c r="E34"/>
      <c r="F34"/>
      <c r="G34"/>
      <c r="H34"/>
      <c r="I34"/>
      <c r="J34"/>
      <c r="K34"/>
    </row>
    <row r="35" spans="1:11" ht="15">
      <c r="A35"/>
      <c r="B35" s="3" t="s">
        <v>31</v>
      </c>
      <c r="C35"/>
      <c r="D35"/>
      <c r="E35"/>
      <c r="F35"/>
      <c r="G35"/>
      <c r="H35"/>
      <c r="I35"/>
      <c r="J35"/>
      <c r="K35"/>
    </row>
    <row r="36" spans="1:11" ht="15">
      <c r="A36" s="8" t="s">
        <v>26</v>
      </c>
      <c r="B36" s="11">
        <f>VLOOKUP(Vlookup!B36,'CDCM Forecast Data'!$A$14:$I$271,9,FALSE)</f>
        <v>0</v>
      </c>
      <c r="C36" s="7" t="s">
        <v>224</v>
      </c>
      <c r="D36"/>
      <c r="E36"/>
      <c r="F36"/>
      <c r="G36"/>
      <c r="H36"/>
      <c r="I36"/>
      <c r="J36"/>
      <c r="K36"/>
    </row>
    <row r="37" spans="1:11" ht="15">
      <c r="A37"/>
      <c r="B37"/>
      <c r="C37"/>
      <c r="D37"/>
      <c r="E37"/>
      <c r="F37"/>
      <c r="G37"/>
      <c r="H37"/>
      <c r="I37"/>
      <c r="J37"/>
      <c r="K37"/>
    </row>
    <row r="38" spans="1:11" ht="19.5">
      <c r="A38" s="1" t="s">
        <v>32</v>
      </c>
      <c r="B38"/>
      <c r="C38"/>
      <c r="D38"/>
      <c r="E38"/>
      <c r="F38"/>
      <c r="G38"/>
      <c r="H38"/>
      <c r="I38"/>
      <c r="J38"/>
      <c r="K38"/>
    </row>
    <row r="39" spans="1:11" ht="15">
      <c r="A39"/>
      <c r="B39"/>
      <c r="C39"/>
      <c r="D39"/>
      <c r="E39"/>
      <c r="F39"/>
      <c r="G39"/>
      <c r="H39"/>
      <c r="I39"/>
      <c r="J39"/>
      <c r="K39"/>
    </row>
    <row r="40" spans="1:11" ht="30">
      <c r="A40"/>
      <c r="B40" s="3" t="s">
        <v>33</v>
      </c>
      <c r="C40"/>
      <c r="D40"/>
      <c r="E40"/>
      <c r="F40"/>
      <c r="G40"/>
      <c r="H40"/>
      <c r="I40"/>
      <c r="J40"/>
      <c r="K40"/>
    </row>
    <row r="41" spans="1:11" ht="15">
      <c r="A41" s="8" t="s">
        <v>33</v>
      </c>
      <c r="B41" s="10">
        <f>VLOOKUP(Vlookup!B41,'CDCM Forecast Data'!$A$14:$I$271,9,FALSE)</f>
        <v>500</v>
      </c>
      <c r="C41" s="7" t="s">
        <v>224</v>
      </c>
      <c r="D41"/>
      <c r="E41"/>
      <c r="F41"/>
      <c r="G41"/>
      <c r="H41"/>
      <c r="I41"/>
      <c r="J41"/>
      <c r="K41"/>
    </row>
    <row r="42" spans="1:11" ht="15">
      <c r="A42"/>
      <c r="B42"/>
      <c r="C42"/>
      <c r="D42"/>
      <c r="E42"/>
      <c r="F42"/>
      <c r="G42"/>
      <c r="H42"/>
      <c r="I42"/>
      <c r="J42"/>
      <c r="K42"/>
    </row>
    <row r="43" spans="1:11" ht="19.5">
      <c r="A43" s="1" t="s">
        <v>34</v>
      </c>
      <c r="B43"/>
      <c r="C43"/>
      <c r="D43"/>
      <c r="E43"/>
      <c r="F43"/>
      <c r="G43"/>
      <c r="H43"/>
      <c r="I43"/>
      <c r="J43"/>
      <c r="K43"/>
    </row>
    <row r="44" spans="1:11" ht="15">
      <c r="A44"/>
      <c r="B44"/>
      <c r="C44"/>
      <c r="D44"/>
      <c r="E44"/>
      <c r="F44"/>
      <c r="G44"/>
      <c r="H44"/>
      <c r="I44"/>
      <c r="J44"/>
      <c r="K44"/>
    </row>
    <row r="45" spans="1:11" ht="15">
      <c r="A45"/>
      <c r="B45" s="3" t="s">
        <v>35</v>
      </c>
      <c r="C45"/>
      <c r="D45"/>
      <c r="E45"/>
      <c r="F45"/>
      <c r="G45"/>
      <c r="H45"/>
      <c r="I45"/>
      <c r="J45"/>
      <c r="K45"/>
    </row>
    <row r="46" spans="1:11" ht="15">
      <c r="A46" s="8" t="s">
        <v>23</v>
      </c>
      <c r="B46" s="10">
        <f>VLOOKUP(Vlookup!B46,'CDCM Forecast Data'!$A$14:$I$271,9,FALSE)</f>
        <v>133443851.77216248</v>
      </c>
      <c r="C46" s="7" t="s">
        <v>224</v>
      </c>
      <c r="D46"/>
      <c r="E46"/>
      <c r="F46"/>
      <c r="G46"/>
      <c r="H46"/>
      <c r="I46"/>
      <c r="J46"/>
      <c r="K46"/>
    </row>
    <row r="47" spans="1:11" ht="15">
      <c r="A47" s="8" t="s">
        <v>24</v>
      </c>
      <c r="B47" s="10">
        <f>VLOOKUP(Vlookup!B47,'CDCM Forecast Data'!$A$14:$I$271,9,FALSE)</f>
        <v>18900886.983632807</v>
      </c>
      <c r="C47" s="7" t="s">
        <v>224</v>
      </c>
      <c r="D47"/>
      <c r="E47"/>
      <c r="F47"/>
      <c r="G47"/>
      <c r="H47"/>
      <c r="I47"/>
      <c r="J47"/>
      <c r="K47"/>
    </row>
    <row r="48" spans="1:11" ht="15">
      <c r="A48" s="8" t="s">
        <v>25</v>
      </c>
      <c r="B48" s="10">
        <f>VLOOKUP(Vlookup!B48,'CDCM Forecast Data'!$A$14:$I$271,9,FALSE)</f>
        <v>47715232.004847363</v>
      </c>
      <c r="C48" s="7" t="s">
        <v>224</v>
      </c>
      <c r="D48"/>
      <c r="E48"/>
      <c r="F48"/>
      <c r="G48"/>
      <c r="H48"/>
      <c r="I48"/>
      <c r="J48"/>
      <c r="K48"/>
    </row>
    <row r="49" spans="1:11" ht="15">
      <c r="A49" s="8" t="s">
        <v>26</v>
      </c>
      <c r="B49" s="10">
        <f>VLOOKUP(Vlookup!B49,'CDCM Forecast Data'!$A$14:$I$271,9,FALSE)</f>
        <v>47956012.623184562</v>
      </c>
      <c r="C49" s="7" t="s">
        <v>224</v>
      </c>
      <c r="D49"/>
      <c r="E49"/>
      <c r="F49"/>
      <c r="G49"/>
      <c r="H49"/>
      <c r="I49"/>
      <c r="J49"/>
      <c r="K49"/>
    </row>
    <row r="50" spans="1:11" ht="15">
      <c r="A50" s="8" t="s">
        <v>31</v>
      </c>
      <c r="B50" s="10">
        <f>VLOOKUP(Vlookup!B50,'CDCM Forecast Data'!$A$14:$I$271,9,FALSE)</f>
        <v>0</v>
      </c>
      <c r="C50" s="7" t="s">
        <v>224</v>
      </c>
      <c r="D50"/>
      <c r="E50"/>
      <c r="F50"/>
      <c r="G50"/>
      <c r="H50"/>
      <c r="I50"/>
      <c r="J50"/>
      <c r="K50"/>
    </row>
    <row r="51" spans="1:11" ht="15">
      <c r="A51" s="8" t="s">
        <v>27</v>
      </c>
      <c r="B51" s="10">
        <f>VLOOKUP(Vlookup!B51,'CDCM Forecast Data'!$A$14:$I$271,9,FALSE)</f>
        <v>170790894.140659</v>
      </c>
      <c r="C51" s="7" t="s">
        <v>224</v>
      </c>
      <c r="D51"/>
      <c r="E51"/>
      <c r="F51"/>
      <c r="G51"/>
      <c r="H51"/>
      <c r="I51"/>
      <c r="J51"/>
      <c r="K51"/>
    </row>
    <row r="52" spans="1:11" ht="15">
      <c r="A52" s="8" t="s">
        <v>28</v>
      </c>
      <c r="B52" s="10">
        <f>VLOOKUP(Vlookup!B52,'CDCM Forecast Data'!$A$14:$I$271,9,FALSE)</f>
        <v>72781314.786402985</v>
      </c>
      <c r="C52" s="7" t="s">
        <v>224</v>
      </c>
      <c r="D52"/>
      <c r="E52"/>
      <c r="F52"/>
      <c r="G52"/>
      <c r="H52"/>
      <c r="I52"/>
      <c r="J52"/>
      <c r="K52"/>
    </row>
    <row r="53" spans="1:11" ht="15">
      <c r="A53" s="8" t="s">
        <v>29</v>
      </c>
      <c r="B53" s="10">
        <f>VLOOKUP(Vlookup!B53,'CDCM Forecast Data'!$A$14:$I$271,9,FALSE)</f>
        <v>156315046.67530727</v>
      </c>
      <c r="C53" s="7" t="s">
        <v>224</v>
      </c>
      <c r="D53"/>
      <c r="E53"/>
      <c r="F53"/>
      <c r="G53"/>
      <c r="H53"/>
      <c r="I53"/>
      <c r="J53"/>
      <c r="K53"/>
    </row>
    <row r="54" spans="1:11" ht="15">
      <c r="A54"/>
      <c r="B54"/>
      <c r="C54"/>
      <c r="D54"/>
      <c r="E54"/>
      <c r="F54"/>
      <c r="G54"/>
      <c r="H54"/>
      <c r="I54"/>
      <c r="J54"/>
      <c r="K54"/>
    </row>
    <row r="55" spans="1:11" ht="19.5">
      <c r="A55" s="1" t="s">
        <v>36</v>
      </c>
      <c r="B55"/>
      <c r="C55"/>
      <c r="D55"/>
      <c r="E55"/>
      <c r="F55"/>
      <c r="G55"/>
      <c r="H55"/>
      <c r="I55"/>
      <c r="J55"/>
      <c r="K55"/>
    </row>
    <row r="56" spans="1:11" ht="15">
      <c r="A56"/>
      <c r="B56"/>
      <c r="C56"/>
      <c r="D56"/>
      <c r="E56"/>
      <c r="F56"/>
      <c r="G56"/>
      <c r="H56"/>
      <c r="I56"/>
      <c r="J56"/>
      <c r="K56"/>
    </row>
    <row r="57" spans="1:11" ht="15">
      <c r="A57"/>
      <c r="B57" s="3" t="s">
        <v>37</v>
      </c>
      <c r="C57" s="3" t="s">
        <v>38</v>
      </c>
      <c r="D57" s="3" t="s">
        <v>39</v>
      </c>
      <c r="E57" s="3" t="s">
        <v>40</v>
      </c>
      <c r="F57" s="3" t="s">
        <v>41</v>
      </c>
      <c r="G57" s="3" t="s">
        <v>42</v>
      </c>
      <c r="H57" s="3" t="s">
        <v>43</v>
      </c>
      <c r="I57" s="3" t="s">
        <v>44</v>
      </c>
      <c r="J57"/>
      <c r="K57"/>
    </row>
    <row r="58" spans="1:11" ht="15">
      <c r="A58" s="8" t="s">
        <v>45</v>
      </c>
      <c r="B58" s="10">
        <f>VLOOKUP(Vlookup!B58,'CDCM Forecast Data'!$A$14:$I$271,9,FALSE)</f>
        <v>6114.2961058258716</v>
      </c>
      <c r="C58" s="10">
        <f>VLOOKUP(Vlookup!C58,'CDCM Forecast Data'!$A$14:$I$271,9,FALSE)</f>
        <v>687.79718183986074</v>
      </c>
      <c r="D58" s="10">
        <f>VLOOKUP(Vlookup!D58,'CDCM Forecast Data'!$A$14:$I$271,9,FALSE)</f>
        <v>837.38816869985578</v>
      </c>
      <c r="E58" s="10">
        <f>VLOOKUP(Vlookup!E58,'CDCM Forecast Data'!$A$14:$I$271,9,FALSE)</f>
        <v>621.02378639698088</v>
      </c>
      <c r="F58" s="10">
        <f>VLOOKUP(Vlookup!F58,'CDCM Forecast Data'!$A$14:$I$271,9,FALSE)</f>
        <v>1411.7252708981218</v>
      </c>
      <c r="G58" s="10">
        <f>VLOOKUP(Vlookup!G58,'CDCM Forecast Data'!$A$14:$I$271,9,FALSE)</f>
        <v>1087.3292823736058</v>
      </c>
      <c r="H58" s="10">
        <f>VLOOKUP(Vlookup!H58,'CDCM Forecast Data'!$A$14:$I$271,9,FALSE)</f>
        <v>0</v>
      </c>
      <c r="I58" s="10">
        <f>VLOOKUP(Vlookup!I58,'CDCM Forecast Data'!$A$14:$I$271,9,FALSE)</f>
        <v>568.679558406311</v>
      </c>
      <c r="J58" s="7" t="s">
        <v>224</v>
      </c>
      <c r="K58"/>
    </row>
    <row r="59" spans="1:11" ht="15">
      <c r="A59"/>
      <c r="B59"/>
      <c r="C59"/>
      <c r="D59"/>
      <c r="E59"/>
      <c r="F59"/>
      <c r="G59"/>
      <c r="H59"/>
      <c r="I59"/>
      <c r="J59"/>
      <c r="K59"/>
    </row>
    <row r="60" spans="1:11" ht="19.5">
      <c r="A60" s="1" t="s">
        <v>46</v>
      </c>
      <c r="B60"/>
      <c r="C60"/>
      <c r="D60"/>
      <c r="E60"/>
      <c r="F60"/>
      <c r="G60"/>
      <c r="H60"/>
      <c r="I60"/>
      <c r="J60"/>
      <c r="K60"/>
    </row>
    <row r="61" spans="1:11" ht="15">
      <c r="A61"/>
      <c r="B61"/>
      <c r="C61"/>
      <c r="D61"/>
      <c r="E61"/>
      <c r="F61"/>
      <c r="G61"/>
      <c r="H61"/>
      <c r="I61"/>
      <c r="J61"/>
      <c r="K61"/>
    </row>
    <row r="62" spans="1:11" ht="15">
      <c r="A62"/>
      <c r="B62" s="3" t="s">
        <v>47</v>
      </c>
      <c r="C62" s="3" t="s">
        <v>48</v>
      </c>
      <c r="D62" s="3" t="s">
        <v>49</v>
      </c>
      <c r="E62" s="3" t="s">
        <v>50</v>
      </c>
      <c r="F62" s="3" t="s">
        <v>51</v>
      </c>
      <c r="G62"/>
      <c r="H62"/>
      <c r="I62"/>
      <c r="J62"/>
      <c r="K62"/>
    </row>
    <row r="63" spans="1:11" ht="15">
      <c r="A63" s="8" t="s">
        <v>52</v>
      </c>
      <c r="B63" s="10">
        <f>VLOOKUP(Vlookup!B63,'CDCM Forecast Data'!$A$14:$I$271,9,FALSE)</f>
        <v>10787.568180979291</v>
      </c>
      <c r="C63" s="10">
        <f>VLOOKUP(Vlookup!C63,'CDCM Forecast Data'!$A$14:$I$271,9,FALSE)</f>
        <v>5201.0510362394189</v>
      </c>
      <c r="D63" s="10">
        <f>VLOOKUP(Vlookup!D63,'CDCM Forecast Data'!$A$14:$I$271,9,FALSE)</f>
        <v>0</v>
      </c>
      <c r="E63" s="10">
        <f>VLOOKUP(Vlookup!E63,'CDCM Forecast Data'!$A$14:$I$271,9,FALSE)</f>
        <v>0</v>
      </c>
      <c r="F63" s="10">
        <f>VLOOKUP(Vlookup!F63,'CDCM Forecast Data'!$A$14:$I$271,9,FALSE)</f>
        <v>0</v>
      </c>
      <c r="G63" s="7" t="s">
        <v>224</v>
      </c>
      <c r="H63"/>
      <c r="I63"/>
      <c r="J63"/>
      <c r="K63"/>
    </row>
    <row r="64" spans="1:11" ht="15">
      <c r="A64"/>
      <c r="B64"/>
      <c r="C64"/>
      <c r="D64"/>
      <c r="E64"/>
      <c r="F64"/>
      <c r="G64"/>
      <c r="H64"/>
      <c r="I64"/>
      <c r="J64"/>
      <c r="K64"/>
    </row>
    <row r="65" spans="1:11" ht="19.5">
      <c r="A65" s="1" t="s">
        <v>53</v>
      </c>
      <c r="B65"/>
      <c r="C65"/>
      <c r="D65"/>
      <c r="E65"/>
      <c r="F65"/>
      <c r="G65"/>
      <c r="H65"/>
      <c r="I65"/>
      <c r="J65"/>
      <c r="K65"/>
    </row>
    <row r="66" spans="1:11" ht="15">
      <c r="A66"/>
      <c r="B66">
        <v>34</v>
      </c>
      <c r="C66">
        <f t="shared" ref="C66:I66" si="0">B66+1</f>
        <v>35</v>
      </c>
      <c r="D66">
        <f t="shared" si="0"/>
        <v>36</v>
      </c>
      <c r="E66">
        <f t="shared" si="0"/>
        <v>37</v>
      </c>
      <c r="F66">
        <f t="shared" si="0"/>
        <v>38</v>
      </c>
      <c r="G66">
        <f t="shared" si="0"/>
        <v>39</v>
      </c>
      <c r="H66">
        <f t="shared" si="0"/>
        <v>40</v>
      </c>
      <c r="I66">
        <f t="shared" si="0"/>
        <v>41</v>
      </c>
      <c r="J66"/>
      <c r="K66"/>
    </row>
    <row r="67" spans="1:11" ht="15">
      <c r="A67"/>
      <c r="B67" s="3" t="s">
        <v>37</v>
      </c>
      <c r="C67" s="3" t="s">
        <v>38</v>
      </c>
      <c r="D67" s="3" t="s">
        <v>39</v>
      </c>
      <c r="E67" s="3" t="s">
        <v>40</v>
      </c>
      <c r="F67" s="3" t="s">
        <v>41</v>
      </c>
      <c r="G67" s="3" t="s">
        <v>42</v>
      </c>
      <c r="H67" s="3" t="s">
        <v>43</v>
      </c>
      <c r="I67" s="3" t="s">
        <v>44</v>
      </c>
      <c r="J67"/>
      <c r="K67"/>
    </row>
    <row r="68" spans="1:11" ht="15">
      <c r="A68" s="8" t="s">
        <v>54</v>
      </c>
      <c r="B68" s="11">
        <f>VLOOKUP($A68,'Mat of App'!$B$7:$AP$43,B$66,FALSE)</f>
        <v>0.05</v>
      </c>
      <c r="C68" s="11">
        <f>VLOOKUP($A68,'Mat of App'!$B$7:$AP$43,C$66,FALSE)</f>
        <v>0</v>
      </c>
      <c r="D68" s="11">
        <f>VLOOKUP($A68,'Mat of App'!$B$7:$AP$43,D$66,FALSE)</f>
        <v>0</v>
      </c>
      <c r="E68" s="11">
        <f>VLOOKUP($A68,'Mat of App'!$B$7:$AP$43,E$66,FALSE)</f>
        <v>0</v>
      </c>
      <c r="F68" s="11">
        <f>VLOOKUP($A68,'Mat of App'!$B$7:$AP$43,F$66,FALSE)</f>
        <v>0</v>
      </c>
      <c r="G68" s="11">
        <f>VLOOKUP($A68,'Mat of App'!$B$7:$AP$43,G$66,FALSE)</f>
        <v>0</v>
      </c>
      <c r="H68" s="11">
        <f>VLOOKUP($A68,'Mat of App'!$B$7:$AP$43,H$66,FALSE)</f>
        <v>0</v>
      </c>
      <c r="I68" s="11">
        <f>VLOOKUP($A68,'Mat of App'!$B$7:$AP$43,I$66,FALSE)</f>
        <v>0</v>
      </c>
      <c r="J68" s="7" t="s">
        <v>224</v>
      </c>
      <c r="K68"/>
    </row>
    <row r="69" spans="1:11" ht="15">
      <c r="A69" s="8" t="s">
        <v>55</v>
      </c>
      <c r="B69" s="11">
        <f>VLOOKUP($A69,'Mat of App'!$B$7:$AP$43,B$66,FALSE)</f>
        <v>0.05</v>
      </c>
      <c r="C69" s="11">
        <f>VLOOKUP($A69,'Mat of App'!$B$7:$AP$43,C$66,FALSE)</f>
        <v>0</v>
      </c>
      <c r="D69" s="11">
        <f>VLOOKUP($A69,'Mat of App'!$B$7:$AP$43,D$66,FALSE)</f>
        <v>0</v>
      </c>
      <c r="E69" s="11">
        <f>VLOOKUP($A69,'Mat of App'!$B$7:$AP$43,E$66,FALSE)</f>
        <v>0</v>
      </c>
      <c r="F69" s="11">
        <f>VLOOKUP($A69,'Mat of App'!$B$7:$AP$43,F$66,FALSE)</f>
        <v>0</v>
      </c>
      <c r="G69" s="11">
        <f>VLOOKUP($A69,'Mat of App'!$B$7:$AP$43,G$66,FALSE)</f>
        <v>0</v>
      </c>
      <c r="H69" s="11">
        <f>VLOOKUP($A69,'Mat of App'!$B$7:$AP$43,H$66,FALSE)</f>
        <v>0</v>
      </c>
      <c r="I69" s="11">
        <f>VLOOKUP($A69,'Mat of App'!$B$7:$AP$43,I$66,FALSE)</f>
        <v>0</v>
      </c>
      <c r="J69" s="7" t="s">
        <v>224</v>
      </c>
      <c r="K69"/>
    </row>
    <row r="70" spans="1:11" ht="15">
      <c r="A70" s="8" t="s">
        <v>56</v>
      </c>
      <c r="B70" s="11">
        <f>VLOOKUP($A70,'Mat of App'!$B$7:$AP$43,B$66,FALSE)</f>
        <v>0</v>
      </c>
      <c r="C70" s="11">
        <f>VLOOKUP($A70,'Mat of App'!$B$7:$AP$43,C$66,FALSE)</f>
        <v>1</v>
      </c>
      <c r="D70" s="11">
        <f>VLOOKUP($A70,'Mat of App'!$B$7:$AP$43,D$66,FALSE)</f>
        <v>0</v>
      </c>
      <c r="E70" s="11">
        <f>VLOOKUP($A70,'Mat of App'!$B$7:$AP$43,E$66,FALSE)</f>
        <v>0</v>
      </c>
      <c r="F70" s="11">
        <f>VLOOKUP($A70,'Mat of App'!$B$7:$AP$43,F$66,FALSE)</f>
        <v>0</v>
      </c>
      <c r="G70" s="11">
        <f>VLOOKUP($A70,'Mat of App'!$B$7:$AP$43,G$66,FALSE)</f>
        <v>0</v>
      </c>
      <c r="H70" s="11">
        <f>VLOOKUP($A70,'Mat of App'!$B$7:$AP$43,H$66,FALSE)</f>
        <v>0</v>
      </c>
      <c r="I70" s="11">
        <f>VLOOKUP($A70,'Mat of App'!$B$7:$AP$43,I$66,FALSE)</f>
        <v>0</v>
      </c>
      <c r="J70" s="7" t="s">
        <v>224</v>
      </c>
      <c r="K70"/>
    </row>
    <row r="71" spans="1:11" ht="15">
      <c r="A71" s="8" t="s">
        <v>57</v>
      </c>
      <c r="B71" s="11">
        <f>VLOOKUP($A71,'Mat of App'!$B$7:$AP$43,B$66,FALSE)</f>
        <v>0</v>
      </c>
      <c r="C71" s="11">
        <f>VLOOKUP($A71,'Mat of App'!$B$7:$AP$43,C$66,FALSE)</f>
        <v>1</v>
      </c>
      <c r="D71" s="11">
        <f>VLOOKUP($A71,'Mat of App'!$B$7:$AP$43,D$66,FALSE)</f>
        <v>0</v>
      </c>
      <c r="E71" s="11">
        <f>VLOOKUP($A71,'Mat of App'!$B$7:$AP$43,E$66,FALSE)</f>
        <v>0</v>
      </c>
      <c r="F71" s="11">
        <f>VLOOKUP($A71,'Mat of App'!$B$7:$AP$43,F$66,FALSE)</f>
        <v>0</v>
      </c>
      <c r="G71" s="11">
        <f>VLOOKUP($A71,'Mat of App'!$B$7:$AP$43,G$66,FALSE)</f>
        <v>0</v>
      </c>
      <c r="H71" s="11">
        <f>VLOOKUP($A71,'Mat of App'!$B$7:$AP$43,H$66,FALSE)</f>
        <v>0</v>
      </c>
      <c r="I71" s="11">
        <f>VLOOKUP($A71,'Mat of App'!$B$7:$AP$43,I$66,FALSE)</f>
        <v>0</v>
      </c>
      <c r="J71" s="7" t="s">
        <v>224</v>
      </c>
      <c r="K71"/>
    </row>
    <row r="72" spans="1:11" ht="15">
      <c r="A72" s="8" t="s">
        <v>58</v>
      </c>
      <c r="B72" s="11">
        <f>VLOOKUP($A72,'Mat of App'!$B$7:$AP$43,B$66,FALSE)</f>
        <v>0</v>
      </c>
      <c r="C72" s="11">
        <f>VLOOKUP($A72,'Mat of App'!$B$7:$AP$43,C$66,FALSE)</f>
        <v>0</v>
      </c>
      <c r="D72" s="11">
        <f>VLOOKUP($A72,'Mat of App'!$B$7:$AP$43,D$66,FALSE)</f>
        <v>1</v>
      </c>
      <c r="E72" s="11">
        <f>VLOOKUP($A72,'Mat of App'!$B$7:$AP$43,E$66,FALSE)</f>
        <v>0</v>
      </c>
      <c r="F72" s="11">
        <f>VLOOKUP($A72,'Mat of App'!$B$7:$AP$43,F$66,FALSE)</f>
        <v>0</v>
      </c>
      <c r="G72" s="11">
        <f>VLOOKUP($A72,'Mat of App'!$B$7:$AP$43,G$66,FALSE)</f>
        <v>0</v>
      </c>
      <c r="H72" s="11">
        <f>VLOOKUP($A72,'Mat of App'!$B$7:$AP$43,H$66,FALSE)</f>
        <v>0</v>
      </c>
      <c r="I72" s="11">
        <f>VLOOKUP($A72,'Mat of App'!$B$7:$AP$43,I$66,FALSE)</f>
        <v>0</v>
      </c>
      <c r="J72" s="7"/>
      <c r="K72"/>
    </row>
    <row r="73" spans="1:11" ht="15">
      <c r="A73" s="8" t="s">
        <v>59</v>
      </c>
      <c r="B73" s="11">
        <f>VLOOKUP($A73,'Mat of App'!$B$7:$AP$43,B$66,FALSE)</f>
        <v>0</v>
      </c>
      <c r="C73" s="11">
        <f>VLOOKUP($A73,'Mat of App'!$B$7:$AP$43,C$66,FALSE)</f>
        <v>0</v>
      </c>
      <c r="D73" s="11">
        <f>VLOOKUP($A73,'Mat of App'!$B$7:$AP$43,D$66,FALSE)</f>
        <v>0</v>
      </c>
      <c r="E73" s="11">
        <f>VLOOKUP($A73,'Mat of App'!$B$7:$AP$43,E$66,FALSE)</f>
        <v>1</v>
      </c>
      <c r="F73" s="11">
        <f>VLOOKUP($A73,'Mat of App'!$B$7:$AP$43,F$66,FALSE)</f>
        <v>0</v>
      </c>
      <c r="G73" s="11">
        <f>VLOOKUP($A73,'Mat of App'!$B$7:$AP$43,G$66,FALSE)</f>
        <v>0</v>
      </c>
      <c r="H73" s="11">
        <f>VLOOKUP($A73,'Mat of App'!$B$7:$AP$43,H$66,FALSE)</f>
        <v>0</v>
      </c>
      <c r="I73" s="11">
        <f>VLOOKUP($A73,'Mat of App'!$B$7:$AP$43,I$66,FALSE)</f>
        <v>0</v>
      </c>
      <c r="J73" s="7"/>
      <c r="K73"/>
    </row>
    <row r="74" spans="1:11" ht="15">
      <c r="A74" s="8" t="s">
        <v>1178</v>
      </c>
      <c r="B74" s="11">
        <f>VLOOKUP($A74,'Mat of App'!$B$7:$AP$43,B$66,FALSE)</f>
        <v>0.05</v>
      </c>
      <c r="C74" s="11">
        <f>VLOOKUP($A74,'Mat of App'!$B$7:$AP$43,C$66,FALSE)</f>
        <v>0</v>
      </c>
      <c r="D74" s="11">
        <f>VLOOKUP($A74,'Mat of App'!$B$7:$AP$43,D$66,FALSE)</f>
        <v>0</v>
      </c>
      <c r="E74" s="11">
        <f>VLOOKUP($A74,'Mat of App'!$B$7:$AP$43,E$66,FALSE)</f>
        <v>0</v>
      </c>
      <c r="F74" s="11">
        <f>VLOOKUP($A74,'Mat of App'!$B$7:$AP$43,F$66,FALSE)</f>
        <v>0</v>
      </c>
      <c r="G74" s="11">
        <f>VLOOKUP($A74,'Mat of App'!$B$7:$AP$43,G$66,FALSE)</f>
        <v>0</v>
      </c>
      <c r="H74" s="11">
        <f>VLOOKUP($A74,'Mat of App'!$B$7:$AP$43,H$66,FALSE)</f>
        <v>0</v>
      </c>
      <c r="I74" s="11">
        <f>VLOOKUP($A74,'Mat of App'!$B$7:$AP$43,I$66,FALSE)</f>
        <v>0</v>
      </c>
      <c r="J74" s="7" t="s">
        <v>224</v>
      </c>
      <c r="K74"/>
    </row>
    <row r="75" spans="1:11" ht="15">
      <c r="A75" s="8" t="s">
        <v>1177</v>
      </c>
      <c r="B75" s="11">
        <f>VLOOKUP($A75,'Mat of App'!$B$7:$AP$43,B$66,FALSE)</f>
        <v>0</v>
      </c>
      <c r="C75" s="11">
        <f>VLOOKUP($A75,'Mat of App'!$B$7:$AP$43,C$66,FALSE)</f>
        <v>1</v>
      </c>
      <c r="D75" s="11">
        <f>VLOOKUP($A75,'Mat of App'!$B$7:$AP$43,D$66,FALSE)</f>
        <v>0</v>
      </c>
      <c r="E75" s="11">
        <f>VLOOKUP($A75,'Mat of App'!$B$7:$AP$43,E$66,FALSE)</f>
        <v>0</v>
      </c>
      <c r="F75" s="11">
        <f>VLOOKUP($A75,'Mat of App'!$B$7:$AP$43,F$66,FALSE)</f>
        <v>0</v>
      </c>
      <c r="G75" s="11">
        <f>VLOOKUP($A75,'Mat of App'!$B$7:$AP$43,G$66,FALSE)</f>
        <v>0</v>
      </c>
      <c r="H75" s="11">
        <f>VLOOKUP($A75,'Mat of App'!$B$7:$AP$43,H$66,FALSE)</f>
        <v>0</v>
      </c>
      <c r="I75" s="11">
        <f>VLOOKUP($A75,'Mat of App'!$B$7:$AP$43,I$66,FALSE)</f>
        <v>0</v>
      </c>
      <c r="J75" s="7" t="s">
        <v>224</v>
      </c>
      <c r="K75"/>
    </row>
    <row r="76" spans="1:11" ht="15">
      <c r="A76" s="8" t="s">
        <v>60</v>
      </c>
      <c r="B76" s="11">
        <f>VLOOKUP($A76,'Mat of App'!$B$7:$AP$43,B$66,FALSE)</f>
        <v>0</v>
      </c>
      <c r="C76" s="11">
        <f>VLOOKUP($A76,'Mat of App'!$B$7:$AP$43,C$66,FALSE)</f>
        <v>0</v>
      </c>
      <c r="D76" s="11">
        <f>VLOOKUP($A76,'Mat of App'!$B$7:$AP$43,D$66,FALSE)</f>
        <v>0</v>
      </c>
      <c r="E76" s="11">
        <f>VLOOKUP($A76,'Mat of App'!$B$7:$AP$43,E$66,FALSE)</f>
        <v>0</v>
      </c>
      <c r="F76" s="11">
        <f>VLOOKUP($A76,'Mat of App'!$B$7:$AP$43,F$66,FALSE)</f>
        <v>1</v>
      </c>
      <c r="G76" s="11">
        <f>VLOOKUP($A76,'Mat of App'!$B$7:$AP$43,G$66,FALSE)</f>
        <v>0</v>
      </c>
      <c r="H76" s="11">
        <f>VLOOKUP($A76,'Mat of App'!$B$7:$AP$43,H$66,FALSE)</f>
        <v>0</v>
      </c>
      <c r="I76" s="11">
        <f>VLOOKUP($A76,'Mat of App'!$B$7:$AP$43,I$66,FALSE)</f>
        <v>0</v>
      </c>
      <c r="J76" s="7" t="s">
        <v>224</v>
      </c>
      <c r="K76"/>
    </row>
    <row r="77" spans="1:11" ht="15">
      <c r="A77" s="8" t="s">
        <v>61</v>
      </c>
      <c r="B77" s="11">
        <f>VLOOKUP($A77,'Mat of App'!$B$7:$AP$43,B$66,FALSE)</f>
        <v>0</v>
      </c>
      <c r="C77" s="11">
        <f>VLOOKUP($A77,'Mat of App'!$B$7:$AP$43,C$66,FALSE)</f>
        <v>0</v>
      </c>
      <c r="D77" s="11">
        <f>VLOOKUP($A77,'Mat of App'!$B$7:$AP$43,D$66,FALSE)</f>
        <v>0</v>
      </c>
      <c r="E77" s="11">
        <f>VLOOKUP($A77,'Mat of App'!$B$7:$AP$43,E$66,FALSE)</f>
        <v>0</v>
      </c>
      <c r="F77" s="11">
        <f>VLOOKUP($A77,'Mat of App'!$B$7:$AP$43,F$66,FALSE)</f>
        <v>0</v>
      </c>
      <c r="G77" s="11">
        <f>VLOOKUP($A77,'Mat of App'!$B$7:$AP$43,G$66,FALSE)</f>
        <v>1</v>
      </c>
      <c r="H77" s="11">
        <f>VLOOKUP($A77,'Mat of App'!$B$7:$AP$43,H$66,FALSE)</f>
        <v>0</v>
      </c>
      <c r="I77" s="11">
        <f>VLOOKUP($A77,'Mat of App'!$B$7:$AP$43,I$66,FALSE)</f>
        <v>0</v>
      </c>
      <c r="J77" s="7" t="s">
        <v>224</v>
      </c>
      <c r="K77"/>
    </row>
    <row r="78" spans="1:11" ht="15">
      <c r="A78" s="285" t="s">
        <v>1176</v>
      </c>
      <c r="B78" s="11">
        <f>VLOOKUP($A78,'Mat of App'!$B$7:$AP$43,B$66,FALSE)</f>
        <v>0</v>
      </c>
      <c r="C78" s="11">
        <f>VLOOKUP($A78,'Mat of App'!$B$7:$AP$43,C$66,FALSE)</f>
        <v>0</v>
      </c>
      <c r="D78" s="11">
        <f>VLOOKUP($A78,'Mat of App'!$B$7:$AP$43,D$66,FALSE)</f>
        <v>0</v>
      </c>
      <c r="E78" s="11">
        <f>VLOOKUP($A78,'Mat of App'!$B$7:$AP$43,E$66,FALSE)</f>
        <v>0</v>
      </c>
      <c r="F78" s="11">
        <f>VLOOKUP($A78,'Mat of App'!$B$7:$AP$43,F$66,FALSE)</f>
        <v>0</v>
      </c>
      <c r="G78" s="11">
        <f>VLOOKUP($A78,'Mat of App'!$B$7:$AP$43,G$66,FALSE)</f>
        <v>0</v>
      </c>
      <c r="H78" s="11">
        <f>VLOOKUP($A78,'Mat of App'!$B$7:$AP$43,H$66,FALSE)</f>
        <v>1</v>
      </c>
      <c r="I78" s="11">
        <f>VLOOKUP($A78,'Mat of App'!$B$7:$AP$43,I$66,FALSE)</f>
        <v>0</v>
      </c>
      <c r="J78" s="7" t="s">
        <v>224</v>
      </c>
      <c r="K78"/>
    </row>
    <row r="79" spans="1:11" ht="15">
      <c r="A79" s="285" t="s">
        <v>62</v>
      </c>
      <c r="B79" s="11">
        <f>VLOOKUP($A79,'Mat of App'!$B$7:$AP$43,B$66,FALSE)</f>
        <v>0</v>
      </c>
      <c r="C79" s="11">
        <f>VLOOKUP($A79,'Mat of App'!$B$7:$AP$43,C$66,FALSE)</f>
        <v>0</v>
      </c>
      <c r="D79" s="11">
        <f>VLOOKUP($A79,'Mat of App'!$B$7:$AP$43,D$66,FALSE)</f>
        <v>0</v>
      </c>
      <c r="E79" s="11">
        <f>VLOOKUP($A79,'Mat of App'!$B$7:$AP$43,E$66,FALSE)</f>
        <v>0</v>
      </c>
      <c r="F79" s="11">
        <f>VLOOKUP($A79,'Mat of App'!$B$7:$AP$43,F$66,FALSE)</f>
        <v>0</v>
      </c>
      <c r="G79" s="11">
        <f>VLOOKUP($A79,'Mat of App'!$B$7:$AP$43,G$66,FALSE)</f>
        <v>0</v>
      </c>
      <c r="H79" s="11">
        <f>VLOOKUP($A79,'Mat of App'!$B$7:$AP$43,H$66,FALSE)</f>
        <v>1</v>
      </c>
      <c r="I79" s="11">
        <f>VLOOKUP($A79,'Mat of App'!$B$7:$AP$43,I$66,FALSE)</f>
        <v>0</v>
      </c>
      <c r="J79" s="7" t="s">
        <v>224</v>
      </c>
      <c r="K79"/>
    </row>
    <row r="80" spans="1:11" ht="15">
      <c r="A80" s="285" t="s">
        <v>63</v>
      </c>
      <c r="B80" s="11">
        <f>VLOOKUP($A80,'Mat of App'!$B$7:$AP$43,B$66,FALSE)</f>
        <v>0</v>
      </c>
      <c r="C80" s="11">
        <f>VLOOKUP($A80,'Mat of App'!$B$7:$AP$43,C$66,FALSE)</f>
        <v>0</v>
      </c>
      <c r="D80" s="11">
        <f>VLOOKUP($A80,'Mat of App'!$B$7:$AP$43,D$66,FALSE)</f>
        <v>0</v>
      </c>
      <c r="E80" s="11">
        <f>VLOOKUP($A80,'Mat of App'!$B$7:$AP$43,E$66,FALSE)</f>
        <v>0</v>
      </c>
      <c r="F80" s="11">
        <f>VLOOKUP($A80,'Mat of App'!$B$7:$AP$43,F$66,FALSE)</f>
        <v>0</v>
      </c>
      <c r="G80" s="11">
        <f>VLOOKUP($A80,'Mat of App'!$B$7:$AP$43,G$66,FALSE)</f>
        <v>0</v>
      </c>
      <c r="H80" s="11">
        <f>VLOOKUP($A80,'Mat of App'!$B$7:$AP$43,H$66,FALSE)</f>
        <v>1</v>
      </c>
      <c r="I80" s="11">
        <f>VLOOKUP($A80,'Mat of App'!$B$7:$AP$43,I$66,FALSE)</f>
        <v>0</v>
      </c>
      <c r="J80" s="7" t="s">
        <v>224</v>
      </c>
      <c r="K80"/>
    </row>
    <row r="81" spans="1:11" ht="15">
      <c r="A81" s="285" t="s">
        <v>1516</v>
      </c>
      <c r="B81" s="11">
        <f>VLOOKUP($A81,'Mat of App'!$B$7:$AP$43,B$66,FALSE)</f>
        <v>0</v>
      </c>
      <c r="C81" s="11">
        <f>VLOOKUP($A81,'Mat of App'!$B$7:$AP$43,C$66,FALSE)</f>
        <v>0</v>
      </c>
      <c r="D81" s="11">
        <f>VLOOKUP($A81,'Mat of App'!$B$7:$AP$43,D$66,FALSE)</f>
        <v>0</v>
      </c>
      <c r="E81" s="11">
        <f>VLOOKUP($A81,'Mat of App'!$B$7:$AP$43,E$66,FALSE)</f>
        <v>0</v>
      </c>
      <c r="F81" s="11">
        <f>VLOOKUP($A81,'Mat of App'!$B$7:$AP$43,F$66,FALSE)</f>
        <v>0</v>
      </c>
      <c r="G81" s="11">
        <f>VLOOKUP($A81,'Mat of App'!$B$7:$AP$43,G$66,FALSE)</f>
        <v>0</v>
      </c>
      <c r="H81" s="11">
        <f>VLOOKUP($A81,'Mat of App'!$B$7:$AP$43,H$66,FALSE)</f>
        <v>1</v>
      </c>
      <c r="I81" s="11">
        <f>VLOOKUP($A81,'Mat of App'!$B$7:$AP$43,I$66,FALSE)</f>
        <v>0</v>
      </c>
      <c r="J81" s="7" t="s">
        <v>224</v>
      </c>
      <c r="K81"/>
    </row>
    <row r="82" spans="1:11" ht="15">
      <c r="A82" s="285" t="s">
        <v>64</v>
      </c>
      <c r="B82" s="11">
        <f>VLOOKUP($A82,'Mat of App'!$B$7:$AP$43,B$66,FALSE)</f>
        <v>0</v>
      </c>
      <c r="C82" s="11">
        <f>VLOOKUP($A82,'Mat of App'!$B$7:$AP$43,C$66,FALSE)</f>
        <v>0</v>
      </c>
      <c r="D82" s="11">
        <f>VLOOKUP($A82,'Mat of App'!$B$7:$AP$43,D$66,FALSE)</f>
        <v>0</v>
      </c>
      <c r="E82" s="11">
        <f>VLOOKUP($A82,'Mat of App'!$B$7:$AP$43,E$66,FALSE)</f>
        <v>0</v>
      </c>
      <c r="F82" s="11">
        <f>VLOOKUP($A82,'Mat of App'!$B$7:$AP$43,F$66,FALSE)</f>
        <v>0</v>
      </c>
      <c r="G82" s="11">
        <f>VLOOKUP($A82,'Mat of App'!$B$7:$AP$43,G$66,FALSE)</f>
        <v>0</v>
      </c>
      <c r="H82" s="11">
        <f>VLOOKUP($A82,'Mat of App'!$B$7:$AP$43,H$66,FALSE)</f>
        <v>0</v>
      </c>
      <c r="I82" s="11">
        <f>VLOOKUP($A82,'Mat of App'!$B$7:$AP$43,I$66,FALSE)</f>
        <v>0</v>
      </c>
      <c r="J82" s="7" t="s">
        <v>224</v>
      </c>
      <c r="K82"/>
    </row>
    <row r="83" spans="1:11" ht="15">
      <c r="A83" s="285" t="s">
        <v>1517</v>
      </c>
      <c r="B83" s="11">
        <f>VLOOKUP($A83,'Mat of App'!$B$7:$AP$43,B$66,FALSE)</f>
        <v>0</v>
      </c>
      <c r="C83" s="11">
        <f>VLOOKUP($A83,'Mat of App'!$B$7:$AP$43,C$66,FALSE)</f>
        <v>0</v>
      </c>
      <c r="D83" s="11">
        <f>VLOOKUP($A83,'Mat of App'!$B$7:$AP$43,D$66,FALSE)</f>
        <v>0</v>
      </c>
      <c r="E83" s="11">
        <f>VLOOKUP($A83,'Mat of App'!$B$7:$AP$43,E$66,FALSE)</f>
        <v>0</v>
      </c>
      <c r="F83" s="11">
        <f>VLOOKUP($A83,'Mat of App'!$B$7:$AP$43,F$66,FALSE)</f>
        <v>0</v>
      </c>
      <c r="G83" s="11">
        <f>VLOOKUP($A83,'Mat of App'!$B$7:$AP$43,G$66,FALSE)</f>
        <v>0</v>
      </c>
      <c r="H83" s="11">
        <f>VLOOKUP($A83,'Mat of App'!$B$7:$AP$43,H$66,FALSE)</f>
        <v>0</v>
      </c>
      <c r="I83" s="11">
        <f>VLOOKUP($A83,'Mat of App'!$B$7:$AP$43,I$66,FALSE)</f>
        <v>0</v>
      </c>
      <c r="J83" s="7"/>
      <c r="K83"/>
    </row>
    <row r="84" spans="1:11" ht="15">
      <c r="A84" s="285" t="s">
        <v>65</v>
      </c>
      <c r="B84" s="11">
        <f>VLOOKUP($A84,'Mat of App'!$B$7:$AP$43,B$66,FALSE)</f>
        <v>0</v>
      </c>
      <c r="C84" s="11">
        <f>VLOOKUP($A84,'Mat of App'!$B$7:$AP$43,C$66,FALSE)</f>
        <v>0</v>
      </c>
      <c r="D84" s="11">
        <f>VLOOKUP($A84,'Mat of App'!$B$7:$AP$43,D$66,FALSE)</f>
        <v>0</v>
      </c>
      <c r="E84" s="11">
        <f>VLOOKUP($A84,'Mat of App'!$B$7:$AP$43,E$66,FALSE)</f>
        <v>0</v>
      </c>
      <c r="F84" s="11">
        <f>VLOOKUP($A84,'Mat of App'!$B$7:$AP$43,F$66,FALSE)</f>
        <v>0</v>
      </c>
      <c r="G84" s="11">
        <f>VLOOKUP($A84,'Mat of App'!$B$7:$AP$43,G$66,FALSE)</f>
        <v>0</v>
      </c>
      <c r="H84" s="11">
        <f>VLOOKUP($A84,'Mat of App'!$B$7:$AP$43,H$66,FALSE)</f>
        <v>0</v>
      </c>
      <c r="I84" s="11">
        <f>VLOOKUP($A84,'Mat of App'!$B$7:$AP$43,I$66,FALSE)</f>
        <v>0</v>
      </c>
      <c r="J84" s="7"/>
      <c r="K84"/>
    </row>
    <row r="85" spans="1:11" ht="15">
      <c r="A85" s="285" t="s">
        <v>1518</v>
      </c>
      <c r="B85" s="11">
        <f>VLOOKUP($A85,'Mat of App'!$B$7:$AP$43,B$66,FALSE)</f>
        <v>0</v>
      </c>
      <c r="C85" s="11">
        <f>VLOOKUP($A85,'Mat of App'!$B$7:$AP$43,C$66,FALSE)</f>
        <v>0</v>
      </c>
      <c r="D85" s="11">
        <f>VLOOKUP($A85,'Mat of App'!$B$7:$AP$43,D$66,FALSE)</f>
        <v>0</v>
      </c>
      <c r="E85" s="11">
        <f>VLOOKUP($A85,'Mat of App'!$B$7:$AP$43,E$66,FALSE)</f>
        <v>0</v>
      </c>
      <c r="F85" s="11">
        <f>VLOOKUP($A85,'Mat of App'!$B$7:$AP$43,F$66,FALSE)</f>
        <v>0</v>
      </c>
      <c r="G85" s="11">
        <f>VLOOKUP($A85,'Mat of App'!$B$7:$AP$43,G$66,FALSE)</f>
        <v>0</v>
      </c>
      <c r="H85" s="11">
        <f>VLOOKUP($A85,'Mat of App'!$B$7:$AP$43,H$66,FALSE)</f>
        <v>0</v>
      </c>
      <c r="I85" s="11">
        <f>VLOOKUP($A85,'Mat of App'!$B$7:$AP$43,I$66,FALSE)</f>
        <v>0</v>
      </c>
      <c r="J85" s="7"/>
      <c r="K85"/>
    </row>
    <row r="86" spans="1:11" ht="15">
      <c r="A86" s="285" t="s">
        <v>66</v>
      </c>
      <c r="B86" s="11">
        <f>VLOOKUP($A86,'Mat of App'!$B$7:$AP$43,B$66,FALSE)</f>
        <v>0</v>
      </c>
      <c r="C86" s="11">
        <f>VLOOKUP($A86,'Mat of App'!$B$7:$AP$43,C$66,FALSE)</f>
        <v>0</v>
      </c>
      <c r="D86" s="11">
        <f>VLOOKUP($A86,'Mat of App'!$B$7:$AP$43,D$66,FALSE)</f>
        <v>0</v>
      </c>
      <c r="E86" s="11">
        <f>VLOOKUP($A86,'Mat of App'!$B$7:$AP$43,E$66,FALSE)</f>
        <v>0</v>
      </c>
      <c r="F86" s="11">
        <f>VLOOKUP($A86,'Mat of App'!$B$7:$AP$43,F$66,FALSE)</f>
        <v>0</v>
      </c>
      <c r="G86" s="11">
        <f>VLOOKUP($A86,'Mat of App'!$B$7:$AP$43,G$66,FALSE)</f>
        <v>0</v>
      </c>
      <c r="H86" s="11">
        <f>VLOOKUP($A86,'Mat of App'!$B$7:$AP$43,H$66,FALSE)</f>
        <v>0</v>
      </c>
      <c r="I86" s="11">
        <f>VLOOKUP($A86,'Mat of App'!$B$7:$AP$43,I$66,FALSE)</f>
        <v>0</v>
      </c>
      <c r="J86" s="7"/>
      <c r="K86"/>
    </row>
    <row r="87" spans="1:11" ht="15">
      <c r="A87" s="285" t="s">
        <v>1519</v>
      </c>
      <c r="B87" s="11">
        <f>VLOOKUP($A87,'Mat of App'!$B$7:$AP$43,B$66,FALSE)</f>
        <v>0</v>
      </c>
      <c r="C87" s="11">
        <f>VLOOKUP($A87,'Mat of App'!$B$7:$AP$43,C$66,FALSE)</f>
        <v>0</v>
      </c>
      <c r="D87" s="11">
        <f>VLOOKUP($A87,'Mat of App'!$B$7:$AP$43,D$66,FALSE)</f>
        <v>0</v>
      </c>
      <c r="E87" s="11">
        <f>VLOOKUP($A87,'Mat of App'!$B$7:$AP$43,E$66,FALSE)</f>
        <v>0</v>
      </c>
      <c r="F87" s="11">
        <f>VLOOKUP($A87,'Mat of App'!$B$7:$AP$43,F$66,FALSE)</f>
        <v>0</v>
      </c>
      <c r="G87" s="11">
        <f>VLOOKUP($A87,'Mat of App'!$B$7:$AP$43,G$66,FALSE)</f>
        <v>0</v>
      </c>
      <c r="H87" s="11">
        <f>VLOOKUP($A87,'Mat of App'!$B$7:$AP$43,H$66,FALSE)</f>
        <v>0</v>
      </c>
      <c r="I87" s="11">
        <f>VLOOKUP($A87,'Mat of App'!$B$7:$AP$43,I$66,FALSE)</f>
        <v>0</v>
      </c>
      <c r="J87" s="7" t="s">
        <v>224</v>
      </c>
      <c r="K87"/>
    </row>
    <row r="88" spans="1:11" ht="15">
      <c r="A88"/>
      <c r="B88"/>
      <c r="C88"/>
      <c r="D88"/>
      <c r="E88"/>
      <c r="F88"/>
      <c r="G88"/>
      <c r="H88"/>
      <c r="I88"/>
      <c r="J88"/>
      <c r="K88"/>
    </row>
    <row r="89" spans="1:11" ht="19.5">
      <c r="A89" s="1" t="s">
        <v>67</v>
      </c>
      <c r="B89"/>
      <c r="C89"/>
      <c r="D89"/>
      <c r="E89"/>
      <c r="F89"/>
      <c r="G89"/>
      <c r="H89"/>
      <c r="I89"/>
      <c r="J89"/>
      <c r="K89"/>
    </row>
    <row r="90" spans="1:11" ht="15">
      <c r="A90" s="2"/>
      <c r="B90"/>
      <c r="C90"/>
      <c r="D90"/>
      <c r="E90"/>
      <c r="F90"/>
      <c r="G90"/>
      <c r="H90"/>
      <c r="I90"/>
      <c r="J90"/>
      <c r="K90"/>
    </row>
    <row r="91" spans="1:11" ht="15">
      <c r="A91" s="2" t="s">
        <v>68</v>
      </c>
      <c r="B91"/>
      <c r="C91"/>
      <c r="D91"/>
      <c r="E91"/>
      <c r="F91"/>
      <c r="G91"/>
      <c r="H91"/>
      <c r="I91"/>
      <c r="J91"/>
      <c r="K91"/>
    </row>
    <row r="92" spans="1:11" ht="15">
      <c r="A92" t="s">
        <v>69</v>
      </c>
      <c r="B92"/>
      <c r="C92"/>
      <c r="D92"/>
      <c r="E92"/>
      <c r="F92"/>
      <c r="G92"/>
      <c r="H92"/>
      <c r="I92"/>
      <c r="J92"/>
      <c r="K92"/>
    </row>
    <row r="93" spans="1:11" ht="15">
      <c r="A93"/>
      <c r="B93" s="3" t="s">
        <v>37</v>
      </c>
      <c r="C93" s="3" t="s">
        <v>38</v>
      </c>
      <c r="D93" s="3" t="s">
        <v>39</v>
      </c>
      <c r="E93" s="3" t="s">
        <v>40</v>
      </c>
      <c r="F93" s="3" t="s">
        <v>41</v>
      </c>
      <c r="G93" s="3" t="s">
        <v>42</v>
      </c>
      <c r="H93" s="3" t="s">
        <v>43</v>
      </c>
      <c r="I93" s="3" t="s">
        <v>44</v>
      </c>
      <c r="J93"/>
      <c r="K93"/>
    </row>
    <row r="94" spans="1:11" ht="15">
      <c r="A94" s="8" t="s">
        <v>70</v>
      </c>
      <c r="B94" s="4">
        <f>VLOOKUP($A94,'Mat of App'!$B$7:$AP$43,B$66,FALSE)</f>
        <v>0</v>
      </c>
      <c r="C94" s="4">
        <f>VLOOKUP($A94,'Mat of App'!$B$7:$AP$43,C$66,FALSE)</f>
        <v>0</v>
      </c>
      <c r="D94" s="4">
        <f>VLOOKUP($A94,'Mat of App'!$B$7:$AP$43,D$66,FALSE)</f>
        <v>0</v>
      </c>
      <c r="E94" s="4">
        <f>VLOOKUP($A94,'Mat of App'!$B$7:$AP$43,E$66,FALSE)</f>
        <v>0</v>
      </c>
      <c r="F94" s="4">
        <f>VLOOKUP($A94,'Mat of App'!$B$7:$AP$43,F$66,FALSE)</f>
        <v>0</v>
      </c>
      <c r="G94" s="4">
        <f>VLOOKUP($A94,'Mat of App'!$B$7:$AP$43,G$66,FALSE)</f>
        <v>0</v>
      </c>
      <c r="H94" s="4">
        <f>VLOOKUP($A94,'Mat of App'!$B$7:$AP$43,H$66,FALSE)</f>
        <v>0</v>
      </c>
      <c r="I94" s="4">
        <f>VLOOKUP($A94,'Mat of App'!$B$7:$AP$43,I$66,FALSE)</f>
        <v>0.48799999999999999</v>
      </c>
      <c r="J94" s="7" t="s">
        <v>224</v>
      </c>
      <c r="K94"/>
    </row>
    <row r="95" spans="1:11" ht="15">
      <c r="A95"/>
      <c r="B95"/>
      <c r="C95"/>
      <c r="D95"/>
      <c r="E95"/>
      <c r="F95"/>
      <c r="G95"/>
      <c r="H95"/>
      <c r="I95"/>
      <c r="J95"/>
      <c r="K95"/>
    </row>
    <row r="96" spans="1:11" ht="19.5">
      <c r="A96" s="1" t="s">
        <v>71</v>
      </c>
      <c r="B96"/>
      <c r="C96"/>
      <c r="D96"/>
      <c r="E96"/>
      <c r="F96"/>
      <c r="G96"/>
      <c r="H96"/>
      <c r="I96"/>
      <c r="J96"/>
      <c r="K96"/>
    </row>
    <row r="97" spans="1:11" ht="15">
      <c r="A97"/>
      <c r="B97">
        <v>22</v>
      </c>
      <c r="C97">
        <f>B97+1</f>
        <v>23</v>
      </c>
      <c r="D97">
        <f>C97+1</f>
        <v>24</v>
      </c>
      <c r="E97">
        <f>D97+1</f>
        <v>25</v>
      </c>
      <c r="F97">
        <f>E97+1</f>
        <v>26</v>
      </c>
      <c r="G97"/>
      <c r="H97"/>
      <c r="I97"/>
      <c r="J97"/>
      <c r="K97"/>
    </row>
    <row r="98" spans="1:11" ht="15">
      <c r="A98"/>
      <c r="B98" s="3" t="s">
        <v>47</v>
      </c>
      <c r="C98" s="3" t="s">
        <v>48</v>
      </c>
      <c r="D98" s="3" t="s">
        <v>49</v>
      </c>
      <c r="E98" s="3" t="s">
        <v>50</v>
      </c>
      <c r="F98" s="3" t="s">
        <v>51</v>
      </c>
      <c r="G98"/>
      <c r="H98"/>
      <c r="I98"/>
      <c r="J98"/>
      <c r="K98"/>
    </row>
    <row r="99" spans="1:11" ht="15">
      <c r="A99" s="285" t="s">
        <v>72</v>
      </c>
      <c r="B99" s="11">
        <f>VLOOKUP($A99,'Mat of App'!$B$7:$AP$43,B$97,FALSE)</f>
        <v>1</v>
      </c>
      <c r="C99" s="11">
        <f>VLOOKUP($A99,'Mat of App'!$B$7:$AP$43,C$97,FALSE)</f>
        <v>0</v>
      </c>
      <c r="D99" s="11">
        <f>VLOOKUP($A99,'Mat of App'!$B$7:$AP$43,D$97,FALSE)</f>
        <v>0</v>
      </c>
      <c r="E99" s="11">
        <f>VLOOKUP($A99,'Mat of App'!$B$7:$AP$43,E$97,FALSE)</f>
        <v>0</v>
      </c>
      <c r="F99" s="11">
        <f>VLOOKUP($A99,'Mat of App'!$B$7:$AP$43,F$97,FALSE)</f>
        <v>0</v>
      </c>
      <c r="G99" s="7" t="s">
        <v>224</v>
      </c>
      <c r="H99"/>
      <c r="I99"/>
      <c r="J99"/>
      <c r="K99"/>
    </row>
    <row r="100" spans="1:11" ht="15">
      <c r="A100" s="285" t="s">
        <v>73</v>
      </c>
      <c r="B100" s="11">
        <f>VLOOKUP($A100,'Mat of App'!$B$7:$AP$43,B$97,FALSE)</f>
        <v>1</v>
      </c>
      <c r="C100" s="11">
        <f>VLOOKUP($A100,'Mat of App'!$B$7:$AP$43,C$97,FALSE)</f>
        <v>0</v>
      </c>
      <c r="D100" s="11">
        <f>VLOOKUP($A100,'Mat of App'!$B$7:$AP$43,D$97,FALSE)</f>
        <v>0</v>
      </c>
      <c r="E100" s="11">
        <f>VLOOKUP($A100,'Mat of App'!$B$7:$AP$43,E$97,FALSE)</f>
        <v>0</v>
      </c>
      <c r="F100" s="11">
        <f>VLOOKUP($A100,'Mat of App'!$B$7:$AP$43,F$97,FALSE)</f>
        <v>0</v>
      </c>
      <c r="G100" s="7" t="s">
        <v>224</v>
      </c>
      <c r="H100"/>
      <c r="I100"/>
      <c r="J100"/>
      <c r="K100"/>
    </row>
    <row r="101" spans="1:11" customFormat="1" ht="15">
      <c r="A101" s="285" t="s">
        <v>74</v>
      </c>
      <c r="B101" s="11">
        <f>VLOOKUP($A101,'Mat of App'!$B$7:$AP$43,B$97,FALSE)</f>
        <v>0</v>
      </c>
      <c r="C101" s="11">
        <f>VLOOKUP($A101,'Mat of App'!$B$7:$AP$43,C$97,FALSE)</f>
        <v>1</v>
      </c>
      <c r="D101" s="11">
        <f>VLOOKUP($A101,'Mat of App'!$B$7:$AP$43,D$97,FALSE)</f>
        <v>0</v>
      </c>
      <c r="E101" s="11">
        <f>VLOOKUP($A101,'Mat of App'!$B$7:$AP$43,E$97,FALSE)</f>
        <v>0</v>
      </c>
      <c r="F101" s="11">
        <f>VLOOKUP($A101,'Mat of App'!$B$7:$AP$43,F$97,FALSE)</f>
        <v>0</v>
      </c>
      <c r="G101" s="7"/>
    </row>
    <row r="102" spans="1:11" customFormat="1" ht="15">
      <c r="A102" s="285" t="s">
        <v>1520</v>
      </c>
      <c r="B102" s="11">
        <f>VLOOKUP($A102,'Mat of App'!$B$7:$AP$43,B$97,FALSE)</f>
        <v>0</v>
      </c>
      <c r="C102" s="11">
        <f>VLOOKUP($A102,'Mat of App'!$B$7:$AP$43,C$97,FALSE)</f>
        <v>1</v>
      </c>
      <c r="D102" s="11">
        <f>VLOOKUP($A102,'Mat of App'!$B$7:$AP$43,D$97,FALSE)</f>
        <v>0</v>
      </c>
      <c r="E102" s="11">
        <f>VLOOKUP($A102,'Mat of App'!$B$7:$AP$43,E$97,FALSE)</f>
        <v>0</v>
      </c>
      <c r="F102" s="11">
        <f>VLOOKUP($A102,'Mat of App'!$B$7:$AP$43,F$97,FALSE)</f>
        <v>0</v>
      </c>
      <c r="G102" s="7"/>
    </row>
    <row r="103" spans="1:11" customFormat="1" ht="15">
      <c r="A103" s="285" t="s">
        <v>75</v>
      </c>
      <c r="B103" s="11">
        <f>VLOOKUP($A103,'Mat of App'!$B$7:$AP$43,B$97,FALSE)</f>
        <v>0</v>
      </c>
      <c r="C103" s="11">
        <f>VLOOKUP($A103,'Mat of App'!$B$7:$AP$43,C$97,FALSE)</f>
        <v>1</v>
      </c>
      <c r="D103" s="11">
        <f>VLOOKUP($A103,'Mat of App'!$B$7:$AP$43,D$97,FALSE)</f>
        <v>0</v>
      </c>
      <c r="E103" s="11">
        <f>VLOOKUP($A103,'Mat of App'!$B$7:$AP$43,E$97,FALSE)</f>
        <v>0</v>
      </c>
      <c r="F103" s="11">
        <f>VLOOKUP($A103,'Mat of App'!$B$7:$AP$43,F$97,FALSE)</f>
        <v>0</v>
      </c>
      <c r="G103" s="7"/>
    </row>
    <row r="104" spans="1:11" customFormat="1" ht="15">
      <c r="A104" s="285" t="s">
        <v>1521</v>
      </c>
      <c r="B104" s="11">
        <f>VLOOKUP($A104,'Mat of App'!$B$7:$AP$43,B$97,FALSE)</f>
        <v>0</v>
      </c>
      <c r="C104" s="11">
        <f>VLOOKUP($A104,'Mat of App'!$B$7:$AP$43,C$97,FALSE)</f>
        <v>1</v>
      </c>
      <c r="D104" s="11">
        <f>VLOOKUP($A104,'Mat of App'!$B$7:$AP$43,D$97,FALSE)</f>
        <v>0</v>
      </c>
      <c r="E104" s="11">
        <f>VLOOKUP($A104,'Mat of App'!$B$7:$AP$43,E$97,FALSE)</f>
        <v>0</v>
      </c>
      <c r="F104" s="11">
        <f>VLOOKUP($A104,'Mat of App'!$B$7:$AP$43,F$97,FALSE)</f>
        <v>0</v>
      </c>
      <c r="G104" s="7"/>
    </row>
    <row r="105" spans="1:11" ht="15">
      <c r="A105"/>
      <c r="B105"/>
      <c r="C105"/>
      <c r="D105"/>
      <c r="E105"/>
      <c r="F105"/>
      <c r="G105"/>
      <c r="H105"/>
      <c r="I105"/>
      <c r="J105"/>
      <c r="K105"/>
    </row>
    <row r="106" spans="1:11" ht="19.5">
      <c r="A106" s="1" t="s">
        <v>76</v>
      </c>
      <c r="B106"/>
      <c r="C106"/>
      <c r="D106"/>
      <c r="E106"/>
      <c r="F106"/>
      <c r="G106"/>
      <c r="H106"/>
      <c r="I106"/>
      <c r="J106"/>
      <c r="K106"/>
    </row>
    <row r="107" spans="1:11" ht="15">
      <c r="A107" s="2" t="s">
        <v>224</v>
      </c>
      <c r="B107"/>
      <c r="C107"/>
      <c r="D107"/>
      <c r="E107"/>
      <c r="F107"/>
      <c r="G107"/>
      <c r="H107"/>
      <c r="I107"/>
      <c r="J107"/>
      <c r="K107"/>
    </row>
    <row r="108" spans="1:11" ht="15">
      <c r="A108" t="s">
        <v>77</v>
      </c>
      <c r="B108"/>
      <c r="C108"/>
      <c r="D108"/>
      <c r="E108"/>
      <c r="F108"/>
      <c r="G108"/>
      <c r="H108"/>
      <c r="I108"/>
      <c r="J108"/>
      <c r="K108"/>
    </row>
    <row r="109" spans="1:11" ht="15">
      <c r="A109"/>
      <c r="B109" s="3" t="s">
        <v>23</v>
      </c>
      <c r="C109" s="3" t="s">
        <v>24</v>
      </c>
      <c r="D109" s="3" t="s">
        <v>25</v>
      </c>
      <c r="E109" s="3" t="s">
        <v>26</v>
      </c>
      <c r="F109" s="3" t="s">
        <v>27</v>
      </c>
      <c r="G109" s="3" t="s">
        <v>28</v>
      </c>
      <c r="H109" s="3" t="s">
        <v>29</v>
      </c>
      <c r="I109"/>
      <c r="J109"/>
      <c r="K109"/>
    </row>
    <row r="110" spans="1:11" ht="15">
      <c r="A110" s="8" t="s">
        <v>78</v>
      </c>
      <c r="B110" s="4">
        <f>VLOOKUP(Vlookup!B69,'CDCM Forecast Data'!$A$14:$I$271,9,FALSE)</f>
        <v>1.002</v>
      </c>
      <c r="C110" s="4">
        <f>VLOOKUP(Vlookup!C69,'CDCM Forecast Data'!$A$14:$I$271,9,FALSE)</f>
        <v>1.006</v>
      </c>
      <c r="D110" s="4">
        <f>VLOOKUP(Vlookup!D69,'CDCM Forecast Data'!$A$14:$I$271,9,FALSE)</f>
        <v>1.012</v>
      </c>
      <c r="E110" s="4">
        <f>VLOOKUP(Vlookup!E69,'CDCM Forecast Data'!$A$14:$I$271,9,FALSE)</f>
        <v>1.0209999999999999</v>
      </c>
      <c r="F110" s="4">
        <f>VLOOKUP(Vlookup!F69,'CDCM Forecast Data'!$A$14:$I$271,9,FALSE)</f>
        <v>1.038</v>
      </c>
      <c r="G110" s="4">
        <f>VLOOKUP(Vlookup!G69,'CDCM Forecast Data'!$A$14:$I$271,9,FALSE)</f>
        <v>1.0489999999999999</v>
      </c>
      <c r="H110" s="4">
        <f>VLOOKUP(Vlookup!H69,'CDCM Forecast Data'!$A$14:$I$271,9,FALSE)</f>
        <v>1.0620000000000001</v>
      </c>
      <c r="I110" s="7" t="s">
        <v>224</v>
      </c>
      <c r="J110"/>
      <c r="K110"/>
    </row>
    <row r="111" spans="1:11" ht="15">
      <c r="A111"/>
      <c r="B111"/>
      <c r="C111"/>
      <c r="D111"/>
      <c r="E111"/>
      <c r="F111"/>
      <c r="G111"/>
      <c r="H111"/>
      <c r="I111"/>
      <c r="J111"/>
      <c r="K111"/>
    </row>
    <row r="112" spans="1:11" ht="19.5">
      <c r="A112" s="1" t="s">
        <v>79</v>
      </c>
      <c r="B112"/>
      <c r="C112"/>
      <c r="D112"/>
      <c r="E112"/>
      <c r="F112"/>
      <c r="G112"/>
      <c r="H112"/>
      <c r="I112"/>
      <c r="J112"/>
      <c r="K112"/>
    </row>
    <row r="113" spans="1:11" ht="15">
      <c r="A113" s="2" t="s">
        <v>224</v>
      </c>
      <c r="B113"/>
      <c r="C113"/>
      <c r="D113"/>
      <c r="E113"/>
      <c r="F113"/>
      <c r="G113"/>
      <c r="H113"/>
      <c r="I113"/>
      <c r="J113"/>
      <c r="K113"/>
    </row>
    <row r="114" spans="1:11" ht="15">
      <c r="A114" t="s">
        <v>80</v>
      </c>
      <c r="B114"/>
      <c r="C114"/>
      <c r="D114"/>
      <c r="E114"/>
      <c r="F114"/>
      <c r="G114"/>
      <c r="H114"/>
      <c r="I114"/>
      <c r="J114"/>
      <c r="K114"/>
    </row>
    <row r="115" spans="1:11" ht="15">
      <c r="A115"/>
      <c r="B115" s="3" t="s">
        <v>81</v>
      </c>
      <c r="C115" s="3" t="s">
        <v>82</v>
      </c>
      <c r="D115" s="3" t="s">
        <v>83</v>
      </c>
      <c r="E115" s="3" t="s">
        <v>84</v>
      </c>
      <c r="F115" s="3" t="s">
        <v>85</v>
      </c>
      <c r="G115"/>
      <c r="H115"/>
      <c r="I115"/>
      <c r="J115"/>
      <c r="K115"/>
    </row>
    <row r="116" spans="1:11" ht="15">
      <c r="A116" s="8" t="s">
        <v>86</v>
      </c>
      <c r="B116" s="6"/>
      <c r="C116" s="11">
        <f>VLOOKUP(Vlookup!C75,'CDCM Forecast Data'!$A$14:$I$271,9,FALSE)</f>
        <v>0.37267999985613431</v>
      </c>
      <c r="D116" s="11">
        <f>VLOOKUP(Vlookup!D75,'CDCM Forecast Data'!$A$14:$I$271,9,FALSE)</f>
        <v>0.6188090826390088</v>
      </c>
      <c r="E116" s="11">
        <f>VLOOKUP(Vlookup!E75,'CDCM Forecast Data'!$A$14:$I$271,9,FALSE)</f>
        <v>0.3749541673400224</v>
      </c>
      <c r="F116" s="11">
        <f>VLOOKUP(Vlookup!F75,'CDCM Forecast Data'!$A$14:$I$271,9,FALSE)</f>
        <v>0.25863289422864333</v>
      </c>
      <c r="G116" s="7" t="s">
        <v>224</v>
      </c>
      <c r="H116"/>
      <c r="I116"/>
      <c r="J116"/>
      <c r="K116"/>
    </row>
    <row r="117" spans="1:11" ht="15">
      <c r="A117"/>
      <c r="B117"/>
      <c r="C117"/>
      <c r="D117"/>
      <c r="E117"/>
      <c r="F117"/>
      <c r="G117"/>
      <c r="H117"/>
      <c r="I117"/>
      <c r="J117"/>
      <c r="K117"/>
    </row>
    <row r="118" spans="1:11" ht="19.5">
      <c r="A118" s="1" t="s">
        <v>87</v>
      </c>
      <c r="B118"/>
      <c r="C118"/>
      <c r="D118"/>
      <c r="E118"/>
      <c r="F118"/>
      <c r="G118"/>
      <c r="H118"/>
      <c r="I118"/>
      <c r="J118"/>
      <c r="K118"/>
    </row>
    <row r="119" spans="1:11" ht="15">
      <c r="A119" s="2"/>
      <c r="B119"/>
      <c r="C119"/>
      <c r="D119"/>
      <c r="E119"/>
      <c r="F119"/>
      <c r="G119"/>
      <c r="H119"/>
      <c r="I119"/>
      <c r="J119"/>
      <c r="K119"/>
    </row>
    <row r="120" spans="1:11" ht="15">
      <c r="A120" t="s">
        <v>88</v>
      </c>
      <c r="B120"/>
      <c r="C120"/>
      <c r="D120"/>
      <c r="E120"/>
      <c r="F120"/>
      <c r="G120"/>
      <c r="H120"/>
      <c r="I120"/>
      <c r="J120"/>
      <c r="K120"/>
    </row>
    <row r="121" spans="1:11" ht="15">
      <c r="A121"/>
      <c r="B121" s="3" t="s">
        <v>89</v>
      </c>
      <c r="C121" s="3" t="s">
        <v>90</v>
      </c>
      <c r="D121"/>
      <c r="E121"/>
      <c r="F121"/>
      <c r="G121"/>
      <c r="H121"/>
      <c r="I121"/>
      <c r="J121"/>
      <c r="K121"/>
    </row>
    <row r="122" spans="1:11" ht="15">
      <c r="A122" s="8" t="s">
        <v>54</v>
      </c>
      <c r="B122" s="4">
        <f>VLOOKUP(Vlookup!B81,'CDCM Forecast Data'!$A$14:$I$271,9,FALSE)</f>
        <v>0.9161200130357342</v>
      </c>
      <c r="C122" s="4">
        <f>VLOOKUP(Vlookup!C81,'CDCM Forecast Data'!$A$14:$I$271,9,FALSE)</f>
        <v>0.41794848731992928</v>
      </c>
      <c r="D122" s="7" t="s">
        <v>224</v>
      </c>
      <c r="E122"/>
      <c r="F122"/>
      <c r="G122"/>
      <c r="H122"/>
      <c r="I122"/>
      <c r="J122"/>
      <c r="K122"/>
    </row>
    <row r="123" spans="1:11" ht="15">
      <c r="A123" s="8" t="s">
        <v>55</v>
      </c>
      <c r="B123" s="4">
        <f>VLOOKUP(Vlookup!B82,'CDCM Forecast Data'!$A$14:$I$271,9,FALSE)</f>
        <v>0.34251063480316429</v>
      </c>
      <c r="C123" s="4">
        <f>VLOOKUP(Vlookup!C82,'CDCM Forecast Data'!$A$14:$I$271,9,FALSE)</f>
        <v>0.25787268553133197</v>
      </c>
      <c r="D123" s="7" t="s">
        <v>224</v>
      </c>
      <c r="E123"/>
      <c r="F123"/>
      <c r="G123"/>
      <c r="H123"/>
      <c r="I123"/>
      <c r="J123"/>
      <c r="K123"/>
    </row>
    <row r="124" spans="1:11" ht="15">
      <c r="A124" s="8" t="s">
        <v>91</v>
      </c>
      <c r="B124" s="6"/>
      <c r="C124" s="4">
        <f>VLOOKUP(Vlookup!C83,'CDCM Forecast Data'!$A$14:$I$271,9,FALSE)</f>
        <v>0.14408187510851836</v>
      </c>
      <c r="D124" s="7" t="s">
        <v>224</v>
      </c>
      <c r="E124"/>
      <c r="F124"/>
      <c r="G124"/>
      <c r="H124"/>
      <c r="I124"/>
      <c r="J124"/>
      <c r="K124"/>
    </row>
    <row r="125" spans="1:11" ht="15">
      <c r="A125" s="8" t="s">
        <v>56</v>
      </c>
      <c r="B125" s="4">
        <f>VLOOKUP(Vlookup!B84,'CDCM Forecast Data'!$A$14:$I$271,9,FALSE)</f>
        <v>0.63581024857807822</v>
      </c>
      <c r="C125" s="4">
        <f>VLOOKUP(Vlookup!C84,'CDCM Forecast Data'!$A$14:$I$271,9,FALSE)</f>
        <v>0.39168322631991553</v>
      </c>
      <c r="D125" s="7" t="s">
        <v>224</v>
      </c>
      <c r="E125"/>
      <c r="F125"/>
      <c r="G125"/>
      <c r="H125"/>
      <c r="I125"/>
      <c r="J125"/>
      <c r="K125"/>
    </row>
    <row r="126" spans="1:11" ht="15">
      <c r="A126" s="8" t="s">
        <v>57</v>
      </c>
      <c r="B126" s="4">
        <f>VLOOKUP(Vlookup!B85,'CDCM Forecast Data'!$A$14:$I$271,9,FALSE)</f>
        <v>0.58840544954710228</v>
      </c>
      <c r="C126" s="4">
        <f>VLOOKUP(Vlookup!C85,'CDCM Forecast Data'!$A$14:$I$271,9,FALSE)</f>
        <v>0.4286725135799398</v>
      </c>
      <c r="D126" s="7" t="s">
        <v>224</v>
      </c>
      <c r="E126"/>
      <c r="F126"/>
      <c r="G126"/>
      <c r="H126"/>
      <c r="I126"/>
      <c r="J126"/>
      <c r="K126"/>
    </row>
    <row r="127" spans="1:11" ht="15">
      <c r="A127" s="8" t="s">
        <v>92</v>
      </c>
      <c r="B127" s="6"/>
      <c r="C127" s="4">
        <f>VLOOKUP(Vlookup!C86,'CDCM Forecast Data'!$A$14:$I$271,9,FALSE)</f>
        <v>0.15294404542816803</v>
      </c>
      <c r="D127" s="7" t="s">
        <v>224</v>
      </c>
      <c r="E127"/>
      <c r="F127"/>
      <c r="G127"/>
      <c r="H127"/>
      <c r="I127"/>
      <c r="J127"/>
      <c r="K127"/>
    </row>
    <row r="128" spans="1:11" ht="15">
      <c r="A128" s="8" t="s">
        <v>58</v>
      </c>
      <c r="B128" s="4">
        <f>VLOOKUP(Vlookup!B87,'CDCM Forecast Data'!$A$14:$I$271,9,FALSE)</f>
        <v>0.85855132048386718</v>
      </c>
      <c r="C128" s="4">
        <f>VLOOKUP(Vlookup!C87,'CDCM Forecast Data'!$A$14:$I$271,9,FALSE)</f>
        <v>0.59360150796757727</v>
      </c>
      <c r="D128" s="7" t="s">
        <v>224</v>
      </c>
      <c r="E128"/>
      <c r="F128"/>
      <c r="G128"/>
      <c r="H128"/>
      <c r="I128"/>
      <c r="J128"/>
      <c r="K128"/>
    </row>
    <row r="129" spans="1:11" ht="15">
      <c r="A129" s="8" t="s">
        <v>59</v>
      </c>
      <c r="B129" s="4">
        <f>VLOOKUP(Vlookup!B88,'CDCM Forecast Data'!$A$14:$I$271,9,FALSE)</f>
        <v>0.83823141723685424</v>
      </c>
      <c r="C129" s="4">
        <f>VLOOKUP(Vlookup!C88,'CDCM Forecast Data'!$A$14:$I$271,9,FALSE)</f>
        <v>0.60009005575416807</v>
      </c>
      <c r="D129" s="7" t="s">
        <v>224</v>
      </c>
      <c r="E129"/>
      <c r="F129"/>
      <c r="G129"/>
      <c r="H129"/>
      <c r="I129"/>
      <c r="J129"/>
      <c r="K129"/>
    </row>
    <row r="130" spans="1:11" ht="15">
      <c r="A130" s="8" t="s">
        <v>72</v>
      </c>
      <c r="B130" s="4">
        <f>VLOOKUP(Vlookup!B89,'CDCM Forecast Data'!$A$14:$I$271,9,FALSE)</f>
        <v>0.6632207801144262</v>
      </c>
      <c r="C130" s="4">
        <f>VLOOKUP(Vlookup!C89,'CDCM Forecast Data'!$A$14:$I$271,9,FALSE)</f>
        <v>0.45490842079580179</v>
      </c>
      <c r="D130" s="7" t="s">
        <v>224</v>
      </c>
      <c r="E130"/>
      <c r="F130"/>
      <c r="G130"/>
      <c r="H130"/>
      <c r="I130"/>
      <c r="J130"/>
      <c r="K130"/>
    </row>
    <row r="131" spans="1:11" ht="15">
      <c r="A131" s="8" t="s">
        <v>1178</v>
      </c>
      <c r="B131" s="4">
        <f>VLOOKUP(Vlookup!B90,'CDCM Forecast Data'!$A$14:$I$271,9,FALSE)</f>
        <v>0.82598957531386852</v>
      </c>
      <c r="C131" s="4">
        <f>VLOOKUP(Vlookup!C90,'CDCM Forecast Data'!$A$14:$I$271,9,FALSE)</f>
        <v>0.38999288958750616</v>
      </c>
      <c r="D131" s="7" t="s">
        <v>224</v>
      </c>
      <c r="E131"/>
      <c r="F131"/>
      <c r="G131"/>
      <c r="H131"/>
      <c r="I131"/>
      <c r="J131"/>
      <c r="K131"/>
    </row>
    <row r="132" spans="1:11" ht="15">
      <c r="A132" s="8" t="s">
        <v>1177</v>
      </c>
      <c r="B132" s="4">
        <f>VLOOKUP(Vlookup!B91,'CDCM Forecast Data'!$A$14:$I$271,9,FALSE)</f>
        <v>0.62627960493623358</v>
      </c>
      <c r="C132" s="4">
        <f>VLOOKUP(Vlookup!C91,'CDCM Forecast Data'!$A$14:$I$271,9,FALSE)</f>
        <v>0.39304953059499698</v>
      </c>
      <c r="D132" s="7" t="s">
        <v>224</v>
      </c>
      <c r="E132"/>
      <c r="F132"/>
      <c r="G132"/>
      <c r="H132"/>
      <c r="I132"/>
      <c r="J132"/>
      <c r="K132"/>
    </row>
    <row r="133" spans="1:11" ht="15">
      <c r="A133" s="8" t="s">
        <v>60</v>
      </c>
      <c r="B133" s="4">
        <f>VLOOKUP(Vlookup!B92,'CDCM Forecast Data'!$A$14:$I$271,9,FALSE)</f>
        <v>0.80328789495257791</v>
      </c>
      <c r="C133" s="4">
        <f>VLOOKUP(Vlookup!C92,'CDCM Forecast Data'!$A$14:$I$271,9,FALSE)</f>
        <v>0.58758032453585229</v>
      </c>
      <c r="D133" s="7" t="s">
        <v>224</v>
      </c>
      <c r="E133"/>
      <c r="F133"/>
      <c r="G133"/>
      <c r="H133"/>
      <c r="I133"/>
      <c r="J133"/>
      <c r="K133"/>
    </row>
    <row r="134" spans="1:11" ht="15">
      <c r="A134" s="8" t="s">
        <v>61</v>
      </c>
      <c r="B134" s="4">
        <f>VLOOKUP(Vlookup!B93,'CDCM Forecast Data'!$A$14:$I$271,9,FALSE)</f>
        <v>0.76581938451320009</v>
      </c>
      <c r="C134" s="4">
        <f>VLOOKUP(Vlookup!C93,'CDCM Forecast Data'!$A$14:$I$271,9,FALSE)</f>
        <v>0.6115171758902811</v>
      </c>
      <c r="D134" s="7"/>
      <c r="E134"/>
      <c r="F134"/>
      <c r="G134"/>
      <c r="H134"/>
      <c r="I134"/>
      <c r="J134"/>
      <c r="K134"/>
    </row>
    <row r="135" spans="1:11" ht="15">
      <c r="A135" s="8" t="s">
        <v>73</v>
      </c>
      <c r="B135" s="4">
        <f>VLOOKUP(Vlookup!B94,'CDCM Forecast Data'!$A$14:$I$271,9,FALSE)</f>
        <v>0.8005762642301345</v>
      </c>
      <c r="C135" s="4">
        <f>VLOOKUP(Vlookup!C94,'CDCM Forecast Data'!$A$14:$I$271,9,FALSE)</f>
        <v>0.72287194628784801</v>
      </c>
      <c r="D135" s="7"/>
      <c r="E135"/>
      <c r="F135"/>
      <c r="G135"/>
      <c r="H135"/>
      <c r="I135"/>
      <c r="J135"/>
      <c r="K135"/>
    </row>
    <row r="136" spans="1:11" ht="15">
      <c r="A136" s="8" t="s">
        <v>93</v>
      </c>
      <c r="B136" s="4">
        <f>VLOOKUP(Vlookup!B95,'CDCM Forecast Data'!$A$14:$I$271,9,FALSE)</f>
        <v>1</v>
      </c>
      <c r="C136" s="4">
        <f>VLOOKUP(Vlookup!C95,'CDCM Forecast Data'!$A$14:$I$271,9,FALSE)</f>
        <v>1</v>
      </c>
      <c r="D136" s="7" t="s">
        <v>224</v>
      </c>
      <c r="E136"/>
      <c r="F136"/>
      <c r="G136"/>
      <c r="H136"/>
      <c r="I136"/>
      <c r="J136"/>
      <c r="K136"/>
    </row>
    <row r="137" spans="1:11" ht="15">
      <c r="A137" s="8" t="s">
        <v>94</v>
      </c>
      <c r="B137" s="4">
        <f>VLOOKUP(Vlookup!B96,'CDCM Forecast Data'!$A$14:$I$271,9,FALSE)</f>
        <v>0.98387596899224805</v>
      </c>
      <c r="C137" s="4">
        <f>VLOOKUP(Vlookup!C96,'CDCM Forecast Data'!$A$14:$I$271,9,FALSE)</f>
        <v>0.47495478910775929</v>
      </c>
      <c r="D137" s="7"/>
      <c r="E137"/>
      <c r="F137"/>
      <c r="G137"/>
      <c r="H137"/>
      <c r="I137"/>
      <c r="J137"/>
      <c r="K137"/>
    </row>
    <row r="138" spans="1:11" ht="15">
      <c r="A138" s="8" t="s">
        <v>95</v>
      </c>
      <c r="B138" s="4">
        <f>VLOOKUP(Vlookup!B97,'CDCM Forecast Data'!$A$14:$I$271,9,FALSE)</f>
        <v>0.88050584275830202</v>
      </c>
      <c r="C138" s="4">
        <f>VLOOKUP(Vlookup!C97,'CDCM Forecast Data'!$A$14:$I$271,9,FALSE)</f>
        <v>0.24631614975022856</v>
      </c>
      <c r="D138" s="7"/>
      <c r="E138"/>
      <c r="F138"/>
      <c r="G138"/>
      <c r="H138"/>
      <c r="I138"/>
      <c r="J138"/>
      <c r="K138"/>
    </row>
    <row r="139" spans="1:11" ht="15">
      <c r="A139" s="8" t="s">
        <v>96</v>
      </c>
      <c r="B139" s="4">
        <f>VLOOKUP(Vlookup!B98,'CDCM Forecast Data'!$A$14:$I$271,9,FALSE)</f>
        <v>0</v>
      </c>
      <c r="C139" s="4">
        <f>VLOOKUP(Vlookup!C98,'CDCM Forecast Data'!$A$14:$I$271,9,FALSE)</f>
        <v>0.51526593887289751</v>
      </c>
      <c r="D139" s="7"/>
      <c r="E139"/>
      <c r="F139"/>
      <c r="G139"/>
      <c r="H139"/>
      <c r="I139"/>
      <c r="J139"/>
      <c r="K139"/>
    </row>
    <row r="140" spans="1:11" ht="15">
      <c r="A140" s="8" t="s">
        <v>97</v>
      </c>
      <c r="B140" s="4">
        <f>VLOOKUP(Vlookup!B99,'CDCM Forecast Data'!$A$14:$I$271,9,FALSE)</f>
        <v>0.97137455011863161</v>
      </c>
      <c r="C140" s="4">
        <f>VLOOKUP(Vlookup!C99,'CDCM Forecast Data'!$A$14:$I$271,9,FALSE)</f>
        <v>0.45549294344669516</v>
      </c>
      <c r="D140" s="7" t="s">
        <v>224</v>
      </c>
      <c r="E140"/>
      <c r="F140"/>
      <c r="G140"/>
      <c r="H140"/>
      <c r="I140"/>
      <c r="J140"/>
      <c r="K140"/>
    </row>
    <row r="141" spans="1:11" ht="15">
      <c r="A141"/>
      <c r="B141"/>
      <c r="C141"/>
      <c r="D141"/>
      <c r="E141"/>
      <c r="F141"/>
      <c r="G141"/>
      <c r="H141"/>
      <c r="I141"/>
      <c r="J141"/>
      <c r="K141"/>
    </row>
    <row r="142" spans="1:11" ht="19.5">
      <c r="A142" s="1" t="s">
        <v>98</v>
      </c>
      <c r="B142"/>
      <c r="C142"/>
      <c r="D142"/>
      <c r="E142"/>
      <c r="F142"/>
      <c r="G142"/>
      <c r="H142"/>
      <c r="I142"/>
      <c r="J142"/>
      <c r="K142"/>
    </row>
    <row r="143" spans="1:11" ht="15">
      <c r="A143" s="2" t="s">
        <v>224</v>
      </c>
      <c r="B143">
        <v>32</v>
      </c>
      <c r="C143">
        <v>33</v>
      </c>
      <c r="D143">
        <v>34</v>
      </c>
      <c r="E143">
        <v>35</v>
      </c>
      <c r="F143">
        <v>36</v>
      </c>
      <c r="G143">
        <v>37</v>
      </c>
      <c r="H143">
        <v>38</v>
      </c>
      <c r="I143"/>
      <c r="J143"/>
      <c r="K143"/>
    </row>
    <row r="144" spans="1:11" ht="15">
      <c r="A144" s="2" t="s">
        <v>99</v>
      </c>
      <c r="B144"/>
      <c r="C144"/>
      <c r="D144"/>
      <c r="E144"/>
      <c r="F144"/>
      <c r="G144"/>
      <c r="H144"/>
      <c r="I144"/>
      <c r="J144"/>
      <c r="K144"/>
    </row>
    <row r="145" spans="1:12" ht="15">
      <c r="A145" s="2" t="s">
        <v>100</v>
      </c>
      <c r="B145"/>
      <c r="C145"/>
      <c r="D145"/>
      <c r="E145"/>
      <c r="F145"/>
      <c r="G145"/>
      <c r="H145"/>
      <c r="I145"/>
      <c r="J145"/>
      <c r="K145"/>
    </row>
    <row r="146" spans="1:12" ht="15">
      <c r="A146" t="s">
        <v>101</v>
      </c>
      <c r="B146"/>
      <c r="C146"/>
      <c r="D146"/>
      <c r="E146"/>
      <c r="F146"/>
      <c r="G146"/>
      <c r="H146"/>
      <c r="I146"/>
      <c r="J146"/>
      <c r="K146"/>
    </row>
    <row r="147" spans="1:12" ht="30">
      <c r="A147"/>
      <c r="B147" s="3" t="s">
        <v>102</v>
      </c>
      <c r="C147" s="3" t="s">
        <v>103</v>
      </c>
      <c r="D147" s="3" t="s">
        <v>104</v>
      </c>
      <c r="E147" s="3" t="s">
        <v>105</v>
      </c>
      <c r="F147" s="3" t="s">
        <v>106</v>
      </c>
      <c r="G147" s="284" t="s">
        <v>1569</v>
      </c>
      <c r="H147" s="3" t="s">
        <v>107</v>
      </c>
      <c r="I147"/>
      <c r="J147"/>
      <c r="K147"/>
      <c r="L147"/>
    </row>
    <row r="148" spans="1:12" ht="15">
      <c r="A148" s="12" t="s">
        <v>108</v>
      </c>
      <c r="B148" s="13">
        <f>VLOOKUP(Vlookup!$B107,'CDCM Volume Forecasts'!$A$28:$AL$136,B$143,FALSE)</f>
        <v>0</v>
      </c>
      <c r="C148" s="13">
        <f>VLOOKUP(Vlookup!$B107,'CDCM Volume Forecasts'!$A$28:$AL$136,C$143,FALSE)</f>
        <v>0</v>
      </c>
      <c r="D148" s="13">
        <f>VLOOKUP(Vlookup!$B107,'CDCM Volume Forecasts'!$A$28:$AL$136,D$143,FALSE)</f>
        <v>0</v>
      </c>
      <c r="E148" s="13">
        <f>VLOOKUP(Vlookup!$B107,'CDCM Volume Forecasts'!$A$28:$AL$136,E$143,FALSE)</f>
        <v>0</v>
      </c>
      <c r="F148" s="13">
        <f>VLOOKUP(Vlookup!$B107,'CDCM Volume Forecasts'!$A$28:$AL$136,F$143,FALSE)</f>
        <v>0</v>
      </c>
      <c r="G148" s="13"/>
      <c r="H148" s="13">
        <f>VLOOKUP(Vlookup!$B107,'CDCM Volume Forecasts'!$A$28:$AL$136,G$143,FALSE)</f>
        <v>0</v>
      </c>
      <c r="I148" s="7"/>
      <c r="J148"/>
      <c r="K148"/>
      <c r="L148"/>
    </row>
    <row r="149" spans="1:12" ht="15">
      <c r="A149" s="8" t="s">
        <v>54</v>
      </c>
      <c r="B149" s="266">
        <f>VLOOKUP(Vlookup!$B108,'CDCM Volume Forecasts'!$A$28:$AL$136,B$143,FALSE)</f>
        <v>4308328.1799358893</v>
      </c>
      <c r="C149" s="292"/>
      <c r="D149" s="292"/>
      <c r="E149" s="266">
        <f>VLOOKUP(Vlookup!$B108,'CDCM Volume Forecasts'!$A$28:$AL$136,E$143,FALSE)</f>
        <v>1249039.053009829</v>
      </c>
      <c r="F149" s="292"/>
      <c r="G149" s="292"/>
      <c r="H149" s="292"/>
      <c r="I149" s="7"/>
      <c r="J149"/>
      <c r="K149"/>
      <c r="L149"/>
    </row>
    <row r="150" spans="1:12" ht="15">
      <c r="A150" s="8" t="s">
        <v>109</v>
      </c>
      <c r="B150" s="266">
        <f>VLOOKUP(Vlookup!$B109,'CDCM Volume Forecasts'!$A$28:$AL$136,B$143,FALSE)</f>
        <v>17317.244984043104</v>
      </c>
      <c r="C150" s="292"/>
      <c r="D150" s="292"/>
      <c r="E150" s="266">
        <f>VLOOKUP(Vlookup!$B109,'CDCM Volume Forecasts'!$A$28:$AL$136,E$143,FALSE)</f>
        <v>6432.4704020547961</v>
      </c>
      <c r="F150" s="292"/>
      <c r="G150" s="292"/>
      <c r="H150" s="292"/>
      <c r="I150" s="7"/>
      <c r="J150"/>
      <c r="K150"/>
      <c r="L150"/>
    </row>
    <row r="151" spans="1:12" ht="15">
      <c r="A151" s="8" t="s">
        <v>110</v>
      </c>
      <c r="B151" s="266">
        <f>VLOOKUP(Vlookup!$B110,'CDCM Volume Forecasts'!$A$28:$AL$136,B$143,FALSE)</f>
        <v>30359.986233439653</v>
      </c>
      <c r="C151" s="292"/>
      <c r="D151" s="292"/>
      <c r="E151" s="266">
        <f>VLOOKUP(Vlookup!$B110,'CDCM Volume Forecasts'!$A$28:$AL$136,E$143,FALSE)</f>
        <v>11844.01251369863</v>
      </c>
      <c r="F151" s="292"/>
      <c r="G151" s="292"/>
      <c r="H151" s="292"/>
      <c r="I151" s="7"/>
      <c r="J151"/>
      <c r="K151"/>
      <c r="L151"/>
    </row>
    <row r="152" spans="1:12" ht="15">
      <c r="A152" s="12" t="s">
        <v>111</v>
      </c>
      <c r="B152" s="290"/>
      <c r="C152" s="290"/>
      <c r="D152" s="290"/>
      <c r="E152" s="290"/>
      <c r="F152" s="290"/>
      <c r="G152" s="290"/>
      <c r="H152" s="290"/>
      <c r="I152" s="7"/>
      <c r="J152"/>
      <c r="K152"/>
      <c r="L152"/>
    </row>
    <row r="153" spans="1:12" ht="15">
      <c r="A153" s="8" t="s">
        <v>55</v>
      </c>
      <c r="B153" s="266">
        <f>VLOOKUP(Vlookup!$B112,'CDCM Volume Forecasts'!$A$28:$AL$136,B$143,FALSE)</f>
        <v>607941.0703076917</v>
      </c>
      <c r="C153" s="266">
        <f>VLOOKUP(Vlookup!$B112,'CDCM Volume Forecasts'!$A$28:$AL$136,C$143,FALSE)</f>
        <v>664320.74235178798</v>
      </c>
      <c r="D153" s="292"/>
      <c r="E153" s="266">
        <f>VLOOKUP(Vlookup!$B112,'CDCM Volume Forecasts'!$A$28:$AL$136,E$143,FALSE)</f>
        <v>209037.51452636323</v>
      </c>
      <c r="F153" s="292"/>
      <c r="G153" s="292"/>
      <c r="H153" s="292"/>
      <c r="I153" s="7"/>
      <c r="J153"/>
      <c r="K153"/>
      <c r="L153"/>
    </row>
    <row r="154" spans="1:12" ht="15">
      <c r="A154" s="8" t="s">
        <v>112</v>
      </c>
      <c r="B154" s="266">
        <f>VLOOKUP(Vlookup!$B113,'CDCM Volume Forecasts'!$A$28:$AL$136,B$143,FALSE)</f>
        <v>996.33454580172418</v>
      </c>
      <c r="C154" s="266">
        <f>VLOOKUP(Vlookup!$B113,'CDCM Volume Forecasts'!$A$28:$AL$136,C$143,FALSE)</f>
        <v>464.31544950000011</v>
      </c>
      <c r="D154" s="292"/>
      <c r="E154" s="266">
        <f>VLOOKUP(Vlookup!$B113,'CDCM Volume Forecasts'!$A$28:$AL$136,E$143,FALSE)</f>
        <v>424.57848904109591</v>
      </c>
      <c r="F154" s="292"/>
      <c r="G154" s="292"/>
      <c r="H154" s="292"/>
      <c r="I154" s="7"/>
      <c r="J154"/>
      <c r="K154"/>
      <c r="L154"/>
    </row>
    <row r="155" spans="1:12" ht="15">
      <c r="A155" s="8" t="s">
        <v>113</v>
      </c>
      <c r="B155" s="266">
        <f>VLOOKUP(Vlookup!$B114,'CDCM Volume Forecasts'!$A$28:$AL$136,B$143,FALSE)</f>
        <v>958.18848680172437</v>
      </c>
      <c r="C155" s="266">
        <f>VLOOKUP(Vlookup!$B114,'CDCM Volume Forecasts'!$A$28:$AL$136,C$143,FALSE)</f>
        <v>407.95688506034486</v>
      </c>
      <c r="D155" s="292"/>
      <c r="E155" s="266">
        <f>VLOOKUP(Vlookup!$B114,'CDCM Volume Forecasts'!$A$28:$AL$136,E$143,FALSE)</f>
        <v>368.39690136986303</v>
      </c>
      <c r="F155" s="292"/>
      <c r="G155" s="292"/>
      <c r="H155" s="292"/>
      <c r="I155" s="7"/>
      <c r="J155"/>
      <c r="K155"/>
      <c r="L155"/>
    </row>
    <row r="156" spans="1:12" ht="15">
      <c r="A156" s="12" t="s">
        <v>114</v>
      </c>
      <c r="B156" s="290"/>
      <c r="C156" s="290"/>
      <c r="D156" s="290"/>
      <c r="E156" s="290"/>
      <c r="F156" s="290"/>
      <c r="G156" s="290"/>
      <c r="H156" s="290"/>
      <c r="I156" s="7"/>
      <c r="J156"/>
      <c r="K156"/>
      <c r="L156"/>
    </row>
    <row r="157" spans="1:12" ht="15">
      <c r="A157" s="8" t="s">
        <v>91</v>
      </c>
      <c r="B157" s="266">
        <f>VLOOKUP(Vlookup!$B116,'CDCM Volume Forecasts'!$A$28:$AL$136,B$143,FALSE)</f>
        <v>45959.708361578618</v>
      </c>
      <c r="C157" s="292"/>
      <c r="D157" s="292"/>
      <c r="E157" s="266">
        <f>VLOOKUP(Vlookup!$B116,'CDCM Volume Forecasts'!$A$28:$AL$136,E$143,FALSE)</f>
        <v>15622</v>
      </c>
      <c r="F157" s="292"/>
      <c r="G157" s="292"/>
      <c r="H157" s="292"/>
      <c r="I157" s="7"/>
      <c r="J157"/>
      <c r="K157"/>
      <c r="L157"/>
    </row>
    <row r="158" spans="1:12" ht="15">
      <c r="A158" s="8" t="s">
        <v>115</v>
      </c>
      <c r="B158" s="266">
        <f>VLOOKUP(Vlookup!$B117,'CDCM Volume Forecasts'!$A$28:$AL$136,B$143,FALSE)</f>
        <v>0</v>
      </c>
      <c r="C158" s="292"/>
      <c r="D158" s="292"/>
      <c r="E158" s="266">
        <f>VLOOKUP(Vlookup!$B117,'CDCM Volume Forecasts'!$A$28:$AL$136,E$143,FALSE)</f>
        <v>0</v>
      </c>
      <c r="F158" s="292"/>
      <c r="G158" s="292"/>
      <c r="H158" s="292"/>
      <c r="I158" s="7"/>
      <c r="J158"/>
      <c r="K158"/>
      <c r="L158"/>
    </row>
    <row r="159" spans="1:12" ht="15">
      <c r="A159" s="8" t="s">
        <v>116</v>
      </c>
      <c r="B159" s="266">
        <f>VLOOKUP(Vlookup!$B118,'CDCM Volume Forecasts'!$A$28:$AL$136,B$143,FALSE)</f>
        <v>0</v>
      </c>
      <c r="C159" s="292"/>
      <c r="D159" s="292"/>
      <c r="E159" s="266">
        <f>VLOOKUP(Vlookup!$B118,'CDCM Volume Forecasts'!$A$28:$AL$136,E$143,FALSE)</f>
        <v>0</v>
      </c>
      <c r="F159" s="292"/>
      <c r="G159" s="292"/>
      <c r="H159" s="292"/>
      <c r="I159" s="7"/>
      <c r="J159"/>
      <c r="K159"/>
      <c r="L159"/>
    </row>
    <row r="160" spans="1:12" ht="15">
      <c r="A160" s="12" t="s">
        <v>117</v>
      </c>
      <c r="B160" s="290"/>
      <c r="C160" s="290"/>
      <c r="D160" s="290"/>
      <c r="E160" s="290"/>
      <c r="F160" s="290"/>
      <c r="G160" s="290"/>
      <c r="H160" s="290"/>
      <c r="I160" s="7"/>
      <c r="J160"/>
      <c r="K160"/>
      <c r="L160"/>
    </row>
    <row r="161" spans="1:12" ht="15">
      <c r="A161" s="8" t="s">
        <v>56</v>
      </c>
      <c r="B161" s="266">
        <f>VLOOKUP(Vlookup!$B120,'CDCM Volume Forecasts'!$A$28:$AL$136,B$143,FALSE)</f>
        <v>1179331.5292248435</v>
      </c>
      <c r="C161" s="292"/>
      <c r="D161" s="292"/>
      <c r="E161" s="266">
        <f>VLOOKUP(Vlookup!$B120,'CDCM Volume Forecasts'!$A$28:$AL$136,E$143,FALSE)</f>
        <v>110093.23974331518</v>
      </c>
      <c r="F161" s="292"/>
      <c r="G161" s="292"/>
      <c r="H161" s="292"/>
      <c r="I161" s="7"/>
      <c r="J161"/>
      <c r="K161"/>
      <c r="L161"/>
    </row>
    <row r="162" spans="1:12" ht="15">
      <c r="A162" s="8" t="s">
        <v>118</v>
      </c>
      <c r="B162" s="266">
        <f>VLOOKUP(Vlookup!$B121,'CDCM Volume Forecasts'!$A$28:$AL$136,B$143,FALSE)</f>
        <v>788.43675949137935</v>
      </c>
      <c r="C162" s="292"/>
      <c r="D162" s="292"/>
      <c r="E162" s="266">
        <f>VLOOKUP(Vlookup!$B121,'CDCM Volume Forecasts'!$A$28:$AL$136,E$143,FALSE)</f>
        <v>127.831401369863</v>
      </c>
      <c r="F162" s="292"/>
      <c r="G162" s="292"/>
      <c r="H162" s="292"/>
      <c r="I162" s="7"/>
      <c r="J162"/>
      <c r="K162"/>
      <c r="L162"/>
    </row>
    <row r="163" spans="1:12" ht="15">
      <c r="A163" s="8" t="s">
        <v>119</v>
      </c>
      <c r="B163" s="266">
        <f>VLOOKUP(Vlookup!$B122,'CDCM Volume Forecasts'!$A$28:$AL$136,B$143,FALSE)</f>
        <v>7392.7733794913811</v>
      </c>
      <c r="C163" s="292"/>
      <c r="D163" s="292"/>
      <c r="E163" s="266">
        <f>VLOOKUP(Vlookup!$B122,'CDCM Volume Forecasts'!$A$28:$AL$136,E$143,FALSE)</f>
        <v>462.20062191780835</v>
      </c>
      <c r="F163" s="292"/>
      <c r="G163" s="292"/>
      <c r="H163" s="292"/>
      <c r="I163" s="7"/>
      <c r="J163"/>
      <c r="K163"/>
      <c r="L163"/>
    </row>
    <row r="164" spans="1:12" ht="15">
      <c r="A164" s="12" t="s">
        <v>120</v>
      </c>
      <c r="B164" s="290"/>
      <c r="C164" s="290"/>
      <c r="D164" s="290"/>
      <c r="E164" s="290"/>
      <c r="F164" s="290"/>
      <c r="G164" s="290"/>
      <c r="H164" s="290"/>
      <c r="I164" s="7"/>
      <c r="J164"/>
      <c r="K164"/>
      <c r="L164"/>
    </row>
    <row r="165" spans="1:12" ht="15">
      <c r="A165" s="8" t="s">
        <v>57</v>
      </c>
      <c r="B165" s="266">
        <f>VLOOKUP(Vlookup!$B124,'CDCM Volume Forecasts'!$A$28:$AL$136,B$143,FALSE)</f>
        <v>394405.65408074018</v>
      </c>
      <c r="C165" s="266">
        <f>VLOOKUP(Vlookup!$B124,'CDCM Volume Forecasts'!$A$28:$AL$136,C$143,FALSE)</f>
        <v>183263.23104870663</v>
      </c>
      <c r="D165" s="292"/>
      <c r="E165" s="266">
        <f>VLOOKUP(Vlookup!$B124,'CDCM Volume Forecasts'!$A$28:$AL$136,E$143,FALSE)</f>
        <v>29443.268260965255</v>
      </c>
      <c r="F165" s="292"/>
      <c r="G165" s="292"/>
      <c r="H165" s="292"/>
      <c r="I165" s="7"/>
      <c r="J165"/>
      <c r="K165"/>
      <c r="L165"/>
    </row>
    <row r="166" spans="1:12" ht="15">
      <c r="A166" s="8" t="s">
        <v>121</v>
      </c>
      <c r="B166" s="266">
        <f>VLOOKUP(Vlookup!$B125,'CDCM Volume Forecasts'!$A$28:$AL$136,B$143,FALSE)</f>
        <v>41.250505112068964</v>
      </c>
      <c r="C166" s="266">
        <f>VLOOKUP(Vlookup!$B125,'CDCM Volume Forecasts'!$A$28:$AL$136,C$143,FALSE)</f>
        <v>17.318100413793108</v>
      </c>
      <c r="D166" s="292"/>
      <c r="E166" s="266">
        <f>VLOOKUP(Vlookup!$B125,'CDCM Volume Forecasts'!$A$28:$AL$136,E$143,FALSE)</f>
        <v>2.757156164383562</v>
      </c>
      <c r="F166" s="292"/>
      <c r="G166" s="292"/>
      <c r="H166" s="292"/>
      <c r="I166" s="7"/>
      <c r="J166"/>
      <c r="K166"/>
      <c r="L166"/>
    </row>
    <row r="167" spans="1:12" ht="15">
      <c r="A167" s="8" t="s">
        <v>122</v>
      </c>
      <c r="B167" s="266">
        <f>VLOOKUP(Vlookup!$B126,'CDCM Volume Forecasts'!$A$28:$AL$136,B$143,FALSE)</f>
        <v>926.24888312068981</v>
      </c>
      <c r="C167" s="266">
        <f>VLOOKUP(Vlookup!$B126,'CDCM Volume Forecasts'!$A$28:$AL$136,C$143,FALSE)</f>
        <v>260.32896822413795</v>
      </c>
      <c r="D167" s="292"/>
      <c r="E167" s="266">
        <f>VLOOKUP(Vlookup!$B126,'CDCM Volume Forecasts'!$A$28:$AL$136,E$143,FALSE)</f>
        <v>23.554836986301375</v>
      </c>
      <c r="F167" s="292"/>
      <c r="G167" s="292"/>
      <c r="H167" s="292"/>
      <c r="I167" s="7"/>
      <c r="J167"/>
      <c r="K167"/>
      <c r="L167"/>
    </row>
    <row r="168" spans="1:12" ht="15">
      <c r="A168" s="12" t="s">
        <v>123</v>
      </c>
      <c r="B168" s="290"/>
      <c r="C168" s="290"/>
      <c r="D168" s="290"/>
      <c r="E168" s="290"/>
      <c r="F168" s="290"/>
      <c r="G168" s="290"/>
      <c r="H168" s="290"/>
      <c r="I168" s="7"/>
      <c r="J168"/>
      <c r="K168"/>
      <c r="L168"/>
    </row>
    <row r="169" spans="1:12" ht="15">
      <c r="A169" s="8" t="s">
        <v>92</v>
      </c>
      <c r="B169" s="266">
        <f>VLOOKUP(Vlookup!$B128,'CDCM Volume Forecasts'!$A$28:$AL$136,B$143,FALSE)</f>
        <v>17319.819478475714</v>
      </c>
      <c r="C169" s="292"/>
      <c r="D169" s="292"/>
      <c r="E169" s="266">
        <f>VLOOKUP(Vlookup!$B128,'CDCM Volume Forecasts'!$A$28:$AL$136,E$143,FALSE)</f>
        <v>3339</v>
      </c>
      <c r="F169" s="292"/>
      <c r="G169" s="292"/>
      <c r="H169" s="292"/>
      <c r="I169" s="7"/>
      <c r="J169"/>
      <c r="K169"/>
      <c r="L169"/>
    </row>
    <row r="170" spans="1:12" ht="30">
      <c r="A170" s="8" t="s">
        <v>124</v>
      </c>
      <c r="B170" s="266">
        <f>VLOOKUP(Vlookup!$B129,'CDCM Volume Forecasts'!$A$28:$AL$136,B$143,FALSE)</f>
        <v>0</v>
      </c>
      <c r="C170" s="292"/>
      <c r="D170" s="292"/>
      <c r="E170" s="266">
        <f>VLOOKUP(Vlookup!$B129,'CDCM Volume Forecasts'!$A$28:$AL$136,E$143,FALSE)</f>
        <v>0</v>
      </c>
      <c r="F170" s="292"/>
      <c r="G170" s="292"/>
      <c r="H170" s="292"/>
      <c r="I170" s="7"/>
      <c r="J170"/>
      <c r="K170"/>
      <c r="L170"/>
    </row>
    <row r="171" spans="1:12" ht="30">
      <c r="A171" s="8" t="s">
        <v>125</v>
      </c>
      <c r="B171" s="266">
        <f>VLOOKUP(Vlookup!$B130,'CDCM Volume Forecasts'!$A$28:$AL$136,B$143,FALSE)</f>
        <v>0</v>
      </c>
      <c r="C171" s="292"/>
      <c r="D171" s="292"/>
      <c r="E171" s="266">
        <f>VLOOKUP(Vlookup!$B130,'CDCM Volume Forecasts'!$A$28:$AL$136,E$143,FALSE)</f>
        <v>0</v>
      </c>
      <c r="F171" s="292"/>
      <c r="G171" s="292"/>
      <c r="H171" s="292"/>
      <c r="I171" s="7"/>
      <c r="J171"/>
      <c r="K171"/>
      <c r="L171"/>
    </row>
    <row r="172" spans="1:12" ht="15">
      <c r="A172" s="12" t="s">
        <v>126</v>
      </c>
      <c r="B172" s="290"/>
      <c r="C172" s="290"/>
      <c r="D172" s="290"/>
      <c r="E172" s="290"/>
      <c r="F172" s="290"/>
      <c r="G172" s="290"/>
      <c r="H172" s="290"/>
      <c r="I172" s="7"/>
      <c r="J172"/>
      <c r="K172"/>
      <c r="L172"/>
    </row>
    <row r="173" spans="1:12" ht="15">
      <c r="A173" s="8" t="s">
        <v>58</v>
      </c>
      <c r="B173" s="266">
        <f>VLOOKUP(Vlookup!$B132,'CDCM Volume Forecasts'!$A$28:$AL$136,B$143,FALSE)</f>
        <v>8.0133204024159801E-4</v>
      </c>
      <c r="C173" s="266">
        <f>VLOOKUP(Vlookup!$B132,'CDCM Volume Forecasts'!$A$28:$AL$136,C$143,FALSE)</f>
        <v>1.9866795975840209E-4</v>
      </c>
      <c r="D173" s="292"/>
      <c r="E173" s="266">
        <f>VLOOKUP(Vlookup!$B132,'CDCM Volume Forecasts'!$A$28:$AL$136,E$143,FALSE)</f>
        <v>1.1375306250331345E-5</v>
      </c>
      <c r="F173" s="292"/>
      <c r="G173" s="292"/>
      <c r="H173" s="292"/>
      <c r="I173" s="7"/>
      <c r="J173"/>
      <c r="K173"/>
      <c r="L173"/>
    </row>
    <row r="174" spans="1:12" ht="15">
      <c r="A174" s="8" t="s">
        <v>127</v>
      </c>
      <c r="B174" s="266">
        <f>VLOOKUP(Vlookup!$B133,'CDCM Volume Forecasts'!$A$28:$AL$136,B$143,FALSE)</f>
        <v>0</v>
      </c>
      <c r="C174" s="266">
        <f>VLOOKUP(Vlookup!$B133,'CDCM Volume Forecasts'!$A$28:$AL$136,C$143,FALSE)</f>
        <v>0</v>
      </c>
      <c r="D174" s="292"/>
      <c r="E174" s="266">
        <f>VLOOKUP(Vlookup!$B133,'CDCM Volume Forecasts'!$A$28:$AL$136,E$143,FALSE)</f>
        <v>0</v>
      </c>
      <c r="F174" s="292"/>
      <c r="G174" s="292"/>
      <c r="H174" s="292"/>
      <c r="I174" s="7"/>
      <c r="J174"/>
      <c r="K174"/>
      <c r="L174"/>
    </row>
    <row r="175" spans="1:12" ht="15">
      <c r="A175" s="8" t="s">
        <v>128</v>
      </c>
      <c r="B175" s="266">
        <f>VLOOKUP(Vlookup!$B134,'CDCM Volume Forecasts'!$A$28:$AL$136,B$143,FALSE)</f>
        <v>0</v>
      </c>
      <c r="C175" s="266">
        <f>VLOOKUP(Vlookup!$B134,'CDCM Volume Forecasts'!$A$28:$AL$136,C$143,FALSE)</f>
        <v>0</v>
      </c>
      <c r="D175" s="292"/>
      <c r="E175" s="266">
        <f>VLOOKUP(Vlookup!$B134,'CDCM Volume Forecasts'!$A$28:$AL$136,E$143,FALSE)</f>
        <v>0</v>
      </c>
      <c r="F175" s="292"/>
      <c r="G175" s="292"/>
      <c r="H175" s="292"/>
      <c r="I175" s="7"/>
      <c r="J175"/>
      <c r="K175"/>
      <c r="L175"/>
    </row>
    <row r="176" spans="1:12" ht="15">
      <c r="A176" s="12" t="s">
        <v>129</v>
      </c>
      <c r="B176" s="290"/>
      <c r="C176" s="290"/>
      <c r="D176" s="290"/>
      <c r="E176" s="290"/>
      <c r="F176" s="290"/>
      <c r="G176" s="290"/>
      <c r="H176" s="290"/>
      <c r="I176" s="7"/>
      <c r="J176"/>
      <c r="K176"/>
      <c r="L176"/>
    </row>
    <row r="177" spans="1:12" ht="15">
      <c r="A177" s="8" t="s">
        <v>59</v>
      </c>
      <c r="B177" s="266">
        <f>VLOOKUP(Vlookup!$B136,'CDCM Volume Forecasts'!$A$28:$AL$136,B$143,FALSE)</f>
        <v>7.8187632481715845E-4</v>
      </c>
      <c r="C177" s="266">
        <f>VLOOKUP(Vlookup!$B136,'CDCM Volume Forecasts'!$A$28:$AL$136,C$143,FALSE)</f>
        <v>2.1812367518284149E-4</v>
      </c>
      <c r="D177" s="292"/>
      <c r="E177" s="266">
        <f>VLOOKUP(Vlookup!$B136,'CDCM Volume Forecasts'!$A$28:$AL$136,E$143,FALSE)</f>
        <v>8.3651490727006342E-6</v>
      </c>
      <c r="F177" s="292"/>
      <c r="G177" s="292"/>
      <c r="H177" s="292"/>
      <c r="I177" s="7"/>
      <c r="J177"/>
      <c r="K177"/>
      <c r="L177"/>
    </row>
    <row r="178" spans="1:12" ht="15">
      <c r="A178" s="12" t="s">
        <v>130</v>
      </c>
      <c r="B178" s="290"/>
      <c r="C178" s="290"/>
      <c r="D178" s="290"/>
      <c r="E178" s="290"/>
      <c r="F178" s="290"/>
      <c r="G178" s="290"/>
      <c r="H178" s="290"/>
      <c r="I178" s="7"/>
      <c r="J178"/>
      <c r="K178"/>
      <c r="L178"/>
    </row>
    <row r="179" spans="1:12" ht="15">
      <c r="A179" s="8" t="s">
        <v>72</v>
      </c>
      <c r="B179" s="266">
        <f>VLOOKUP(Vlookup!$B138,'CDCM Volume Forecasts'!$A$28:$AL$136,B$143,FALSE)</f>
        <v>7.7902953356325151E-4</v>
      </c>
      <c r="C179" s="266">
        <f>VLOOKUP(Vlookup!$B138,'CDCM Volume Forecasts'!$A$28:$AL$136,C$143,FALSE)</f>
        <v>2.2097046643674843E-4</v>
      </c>
      <c r="D179" s="292"/>
      <c r="E179" s="266">
        <f>VLOOKUP(Vlookup!$B138,'CDCM Volume Forecasts'!$A$28:$AL$136,E$143,FALSE)</f>
        <v>8.8911149421647205E-6</v>
      </c>
      <c r="F179" s="292"/>
      <c r="G179" s="292"/>
      <c r="H179" s="292"/>
      <c r="I179" s="7"/>
      <c r="J179"/>
      <c r="K179"/>
      <c r="L179"/>
    </row>
    <row r="180" spans="1:12" ht="15">
      <c r="A180" s="12" t="s">
        <v>1181</v>
      </c>
      <c r="B180" s="290"/>
      <c r="C180" s="290"/>
      <c r="D180" s="290"/>
      <c r="E180" s="290"/>
      <c r="F180" s="290"/>
      <c r="G180" s="290"/>
      <c r="H180" s="290"/>
      <c r="I180" s="7"/>
      <c r="J180"/>
      <c r="K180"/>
      <c r="L180"/>
    </row>
    <row r="181" spans="1:12" ht="15">
      <c r="A181" s="8" t="s">
        <v>1178</v>
      </c>
      <c r="B181" s="266">
        <f>VLOOKUP(Vlookup!$B140,'CDCM Volume Forecasts'!$A$28:$AL$136,B$143,FALSE)</f>
        <v>2.2038402354910721E-2</v>
      </c>
      <c r="C181" s="266">
        <f>VLOOKUP(Vlookup!$B140,'CDCM Volume Forecasts'!$A$28:$AL$136,C$143,FALSE)</f>
        <v>5.6003186010638299E-2</v>
      </c>
      <c r="D181" s="266">
        <f>VLOOKUP(Vlookup!$B140,'CDCM Volume Forecasts'!$A$28:$AL$136,D$143,FALSE)</f>
        <v>5.28921656517857E-2</v>
      </c>
      <c r="E181" s="266">
        <f>VLOOKUP(Vlookup!$B140,'CDCM Volume Forecasts'!$A$28:$AL$136,E$143,FALSE)</f>
        <v>8.4931506849315067E-2</v>
      </c>
      <c r="F181" s="292"/>
      <c r="G181" s="292"/>
      <c r="H181" s="292"/>
      <c r="I181" s="7"/>
      <c r="J181"/>
      <c r="K181"/>
      <c r="L181"/>
    </row>
    <row r="182" spans="1:12" ht="15">
      <c r="A182" s="8" t="s">
        <v>1175</v>
      </c>
      <c r="B182" s="266">
        <f>VLOOKUP(Vlookup!$B141,'CDCM Volume Forecasts'!$A$28:$AL$136,B$143,FALSE)</f>
        <v>0</v>
      </c>
      <c r="C182" s="266">
        <f>VLOOKUP(Vlookup!$B141,'CDCM Volume Forecasts'!$A$28:$AL$136,C$143,FALSE)</f>
        <v>0</v>
      </c>
      <c r="D182" s="266">
        <f>VLOOKUP(Vlookup!$B141,'CDCM Volume Forecasts'!$A$28:$AL$136,D$143,FALSE)</f>
        <v>0</v>
      </c>
      <c r="E182" s="266">
        <f>VLOOKUP(Vlookup!$B141,'CDCM Volume Forecasts'!$A$28:$AL$136,E$143,FALSE)</f>
        <v>0</v>
      </c>
      <c r="F182" s="292"/>
      <c r="G182" s="292"/>
      <c r="H182" s="292"/>
      <c r="I182" s="7"/>
      <c r="J182"/>
      <c r="K182"/>
      <c r="L182"/>
    </row>
    <row r="183" spans="1:12" ht="15">
      <c r="A183" s="8" t="s">
        <v>1172</v>
      </c>
      <c r="B183" s="266">
        <f>VLOOKUP(Vlookup!$B142,'CDCM Volume Forecasts'!$A$28:$AL$136,B$143,FALSE)</f>
        <v>0</v>
      </c>
      <c r="C183" s="266">
        <f>VLOOKUP(Vlookup!$B142,'CDCM Volume Forecasts'!$A$28:$AL$136,C$143,FALSE)</f>
        <v>0</v>
      </c>
      <c r="D183" s="266">
        <f>VLOOKUP(Vlookup!$B142,'CDCM Volume Forecasts'!$A$28:$AL$136,D$143,FALSE)</f>
        <v>0</v>
      </c>
      <c r="E183" s="266">
        <f>VLOOKUP(Vlookup!$B142,'CDCM Volume Forecasts'!$A$28:$AL$136,E$143,FALSE)</f>
        <v>0</v>
      </c>
      <c r="F183" s="292"/>
      <c r="G183" s="292"/>
      <c r="H183" s="292"/>
      <c r="I183" s="7"/>
      <c r="J183"/>
      <c r="K183"/>
      <c r="L183"/>
    </row>
    <row r="184" spans="1:12" ht="15">
      <c r="A184" s="12" t="s">
        <v>1180</v>
      </c>
      <c r="B184" s="290"/>
      <c r="C184" s="290"/>
      <c r="D184" s="290"/>
      <c r="E184" s="290"/>
      <c r="F184" s="290"/>
      <c r="G184" s="290"/>
      <c r="H184" s="290"/>
      <c r="I184" s="7"/>
      <c r="J184"/>
      <c r="K184"/>
      <c r="L184"/>
    </row>
    <row r="185" spans="1:12" ht="15">
      <c r="A185" s="8" t="s">
        <v>1177</v>
      </c>
      <c r="B185" s="266">
        <f>VLOOKUP(Vlookup!$B144,'CDCM Volume Forecasts'!$A$28:$AL$136,B$143,FALSE)</f>
        <v>26809.776329036184</v>
      </c>
      <c r="C185" s="266">
        <f>VLOOKUP(Vlookup!$B144,'CDCM Volume Forecasts'!$A$28:$AL$136,C$143,FALSE)</f>
        <v>198363.7566935535</v>
      </c>
      <c r="D185" s="266">
        <f>VLOOKUP(Vlookup!$B144,'CDCM Volume Forecasts'!$A$28:$AL$136,D$143,FALSE)</f>
        <v>187790.92736802268</v>
      </c>
      <c r="E185" s="266">
        <f>VLOOKUP(Vlookup!$B144,'CDCM Volume Forecasts'!$A$28:$AL$136,E$143,FALSE)</f>
        <v>6133.3604116966899</v>
      </c>
      <c r="F185" s="292"/>
      <c r="G185" s="292"/>
      <c r="H185" s="292"/>
      <c r="I185" s="7"/>
      <c r="J185"/>
      <c r="K185"/>
      <c r="L185"/>
    </row>
    <row r="186" spans="1:12" ht="15">
      <c r="A186" s="8" t="s">
        <v>1174</v>
      </c>
      <c r="B186" s="266">
        <f>VLOOKUP(Vlookup!$B145,'CDCM Volume Forecasts'!$A$28:$AL$136,B$143,FALSE)</f>
        <v>3.3157410088189661</v>
      </c>
      <c r="C186" s="266">
        <f>VLOOKUP(Vlookup!$B145,'CDCM Volume Forecasts'!$A$28:$AL$136,C$143,FALSE)</f>
        <v>24.610477729189657</v>
      </c>
      <c r="D186" s="266">
        <f>VLOOKUP(Vlookup!$B145,'CDCM Volume Forecasts'!$A$28:$AL$136,D$143,FALSE)</f>
        <v>26.227817446189661</v>
      </c>
      <c r="E186" s="266">
        <f>VLOOKUP(Vlookup!$B145,'CDCM Volume Forecasts'!$A$28:$AL$136,E$143,FALSE)</f>
        <v>1.1300991921225449</v>
      </c>
      <c r="F186" s="292"/>
      <c r="G186" s="292"/>
      <c r="H186" s="292"/>
      <c r="I186" s="7"/>
      <c r="J186"/>
      <c r="K186"/>
      <c r="L186"/>
    </row>
    <row r="187" spans="1:12" ht="15">
      <c r="A187" s="8" t="s">
        <v>1171</v>
      </c>
      <c r="B187" s="266">
        <f>VLOOKUP(Vlookup!$B146,'CDCM Volume Forecasts'!$A$28:$AL$136,B$143,FALSE)</f>
        <v>208.85522710830037</v>
      </c>
      <c r="C187" s="266">
        <f>VLOOKUP(Vlookup!$B146,'CDCM Volume Forecasts'!$A$28:$AL$136,C$143,FALSE)</f>
        <v>1439.9688025914054</v>
      </c>
      <c r="D187" s="266">
        <f>VLOOKUP(Vlookup!$B146,'CDCM Volume Forecasts'!$A$28:$AL$136,D$143,FALSE)</f>
        <v>1182.4128410746812</v>
      </c>
      <c r="E187" s="266">
        <f>VLOOKUP(Vlookup!$B146,'CDCM Volume Forecasts'!$A$28:$AL$136,E$143,FALSE)</f>
        <v>39.906605458800122</v>
      </c>
      <c r="F187" s="292"/>
      <c r="G187" s="292"/>
      <c r="H187" s="292"/>
      <c r="I187" s="7"/>
      <c r="J187"/>
      <c r="K187"/>
      <c r="L187"/>
    </row>
    <row r="188" spans="1:12" ht="15">
      <c r="A188" s="12" t="s">
        <v>131</v>
      </c>
      <c r="B188" s="290"/>
      <c r="C188" s="290"/>
      <c r="D188" s="290"/>
      <c r="E188" s="290"/>
      <c r="F188" s="290"/>
      <c r="G188" s="290"/>
      <c r="H188" s="290"/>
      <c r="I188" s="7"/>
      <c r="J188"/>
      <c r="K188"/>
      <c r="L188"/>
    </row>
    <row r="189" spans="1:12" ht="15">
      <c r="A189" s="8" t="s">
        <v>60</v>
      </c>
      <c r="B189" s="266">
        <f>VLOOKUP(Vlookup!$B148,'CDCM Volume Forecasts'!$A$28:$AL$136,B$143,FALSE)</f>
        <v>86224.938174458686</v>
      </c>
      <c r="C189" s="266">
        <f>VLOOKUP(Vlookup!$B148,'CDCM Volume Forecasts'!$A$28:$AL$136,C$143,FALSE)</f>
        <v>626406.11625046073</v>
      </c>
      <c r="D189" s="266">
        <f>VLOOKUP(Vlookup!$B148,'CDCM Volume Forecasts'!$A$28:$AL$136,D$143,FALSE)</f>
        <v>551384.49934371735</v>
      </c>
      <c r="E189" s="266">
        <f>VLOOKUP(Vlookup!$B148,'CDCM Volume Forecasts'!$A$28:$AL$136,E$143,FALSE)</f>
        <v>6675.4921517207349</v>
      </c>
      <c r="F189" s="266">
        <f>VLOOKUP(Vlookup!$B148,'CDCM Volume Forecasts'!$A$28:$AL$136,F$143,FALSE)</f>
        <v>679119.46093167306</v>
      </c>
      <c r="G189" s="266">
        <f>VLOOKUP(Vlookup!$B148,'CDCM Volume Forecasts'!$A$28:$AL$136,G$143,FALSE)</f>
        <v>12059.509748296468</v>
      </c>
      <c r="H189" s="266">
        <f>VLOOKUP(Vlookup!$B148,'CDCM Volume Forecasts'!$A$28:$AL$136,H$143,FALSE)</f>
        <v>78582.108886907372</v>
      </c>
      <c r="I189" s="7"/>
      <c r="J189"/>
      <c r="K189"/>
      <c r="L189"/>
    </row>
    <row r="190" spans="1:12" ht="15">
      <c r="A190" s="8" t="s">
        <v>132</v>
      </c>
      <c r="B190" s="266">
        <f>VLOOKUP(Vlookup!$B149,'CDCM Volume Forecasts'!$A$28:$AL$136,B$143,FALSE)</f>
        <v>26.670196333111619</v>
      </c>
      <c r="C190" s="266">
        <f>VLOOKUP(Vlookup!$B149,'CDCM Volume Forecasts'!$A$28:$AL$136,C$143,FALSE)</f>
        <v>184.90987519400832</v>
      </c>
      <c r="D190" s="266">
        <f>VLOOKUP(Vlookup!$B149,'CDCM Volume Forecasts'!$A$28:$AL$136,D$143,FALSE)</f>
        <v>189.04909032529565</v>
      </c>
      <c r="E190" s="266">
        <f>VLOOKUP(Vlookup!$B149,'CDCM Volume Forecasts'!$A$28:$AL$136,E$143,FALSE)</f>
        <v>3.6487097119870446</v>
      </c>
      <c r="F190" s="266">
        <f>VLOOKUP(Vlookup!$B149,'CDCM Volume Forecasts'!$A$28:$AL$136,F$143,FALSE)</f>
        <v>385.20564657534248</v>
      </c>
      <c r="G190" s="266">
        <f>VLOOKUP(Vlookup!$B149,'CDCM Volume Forecasts'!$A$28:$AL$136,G$143,FALSE)</f>
        <v>0</v>
      </c>
      <c r="H190" s="266">
        <f>VLOOKUP(Vlookup!$B149,'CDCM Volume Forecasts'!$A$28:$AL$136,H$143,FALSE)</f>
        <v>38.893499255172415</v>
      </c>
      <c r="I190" s="7"/>
      <c r="J190"/>
      <c r="K190"/>
      <c r="L190"/>
    </row>
    <row r="191" spans="1:12" ht="15">
      <c r="A191" s="8" t="s">
        <v>133</v>
      </c>
      <c r="B191" s="266">
        <f>VLOOKUP(Vlookup!$B150,'CDCM Volume Forecasts'!$A$28:$AL$136,B$143,FALSE)</f>
        <v>3033.5166612945895</v>
      </c>
      <c r="C191" s="266">
        <f>VLOOKUP(Vlookup!$B150,'CDCM Volume Forecasts'!$A$28:$AL$136,C$143,FALSE)</f>
        <v>19778.444486303983</v>
      </c>
      <c r="D191" s="266">
        <f>VLOOKUP(Vlookup!$B150,'CDCM Volume Forecasts'!$A$28:$AL$136,D$143,FALSE)</f>
        <v>17104.938488611111</v>
      </c>
      <c r="E191" s="266">
        <f>VLOOKUP(Vlookup!$B150,'CDCM Volume Forecasts'!$A$28:$AL$136,E$143,FALSE)</f>
        <v>102.52944728092592</v>
      </c>
      <c r="F191" s="266">
        <f>VLOOKUP(Vlookup!$B150,'CDCM Volume Forecasts'!$A$28:$AL$136,F$143,FALSE)</f>
        <v>21251.928945205484</v>
      </c>
      <c r="G191" s="266">
        <f>VLOOKUP(Vlookup!$B150,'CDCM Volume Forecasts'!$A$28:$AL$136,G$143,FALSE)</f>
        <v>85.518659589041107</v>
      </c>
      <c r="H191" s="266">
        <f>VLOOKUP(Vlookup!$B150,'CDCM Volume Forecasts'!$A$28:$AL$136,H$143,FALSE)</f>
        <v>1726.2375684206897</v>
      </c>
      <c r="I191" s="7"/>
      <c r="J191"/>
      <c r="K191"/>
      <c r="L191"/>
    </row>
    <row r="192" spans="1:12" ht="15">
      <c r="A192" s="12" t="s">
        <v>134</v>
      </c>
      <c r="B192" s="290"/>
      <c r="C192" s="290"/>
      <c r="D192" s="290"/>
      <c r="E192" s="290"/>
      <c r="F192" s="290"/>
      <c r="G192" s="290"/>
      <c r="H192" s="290"/>
      <c r="I192" s="7"/>
      <c r="J192"/>
      <c r="K192"/>
      <c r="L192"/>
    </row>
    <row r="193" spans="1:12" ht="15">
      <c r="A193" s="8" t="s">
        <v>61</v>
      </c>
      <c r="B193" s="266">
        <f>VLOOKUP(Vlookup!$B152,'CDCM Volume Forecasts'!$A$28:$AL$136,B$143,FALSE)</f>
        <v>49864.368371854573</v>
      </c>
      <c r="C193" s="266">
        <f>VLOOKUP(Vlookup!$B152,'CDCM Volume Forecasts'!$A$28:$AL$136,C$143,FALSE)</f>
        <v>369689.81514963449</v>
      </c>
      <c r="D193" s="266">
        <f>VLOOKUP(Vlookup!$B152,'CDCM Volume Forecasts'!$A$28:$AL$136,D$143,FALSE)</f>
        <v>340515.48335188109</v>
      </c>
      <c r="E193" s="266">
        <f>VLOOKUP(Vlookup!$B152,'CDCM Volume Forecasts'!$A$28:$AL$136,E$143,FALSE)</f>
        <v>1936.9854039786185</v>
      </c>
      <c r="F193" s="266">
        <f>VLOOKUP(Vlookup!$B152,'CDCM Volume Forecasts'!$A$28:$AL$136,F$143,FALSE)</f>
        <v>364556.94204575109</v>
      </c>
      <c r="G193" s="266">
        <f>VLOOKUP(Vlookup!$B152,'CDCM Volume Forecasts'!$A$28:$AL$136,G$143,FALSE)</f>
        <v>5286.8109888675162</v>
      </c>
      <c r="H193" s="266">
        <f>VLOOKUP(Vlookup!$B152,'CDCM Volume Forecasts'!$A$28:$AL$136,H$143,FALSE)</f>
        <v>65191.59809982658</v>
      </c>
      <c r="I193" s="7"/>
      <c r="J193"/>
      <c r="K193"/>
      <c r="L193"/>
    </row>
    <row r="194" spans="1:12" ht="15">
      <c r="A194" s="8" t="s">
        <v>135</v>
      </c>
      <c r="B194" s="266">
        <f>VLOOKUP(Vlookup!$B153,'CDCM Volume Forecasts'!$A$28:$AL$136,B$143,FALSE)</f>
        <v>7.3537928980044374</v>
      </c>
      <c r="C194" s="266">
        <f>VLOOKUP(Vlookup!$B153,'CDCM Volume Forecasts'!$A$28:$AL$136,C$143,FALSE)</f>
        <v>37.820208493355103</v>
      </c>
      <c r="D194" s="266">
        <f>VLOOKUP(Vlookup!$B153,'CDCM Volume Forecasts'!$A$28:$AL$136,D$143,FALSE)</f>
        <v>52.294666737338311</v>
      </c>
      <c r="E194" s="266">
        <f>VLOOKUP(Vlookup!$B153,'CDCM Volume Forecasts'!$A$28:$AL$136,E$143,FALSE)</f>
        <v>1.1758993150684933</v>
      </c>
      <c r="F194" s="266">
        <f>VLOOKUP(Vlookup!$B153,'CDCM Volume Forecasts'!$A$28:$AL$136,F$143,FALSE)</f>
        <v>626.75433493150683</v>
      </c>
      <c r="G194" s="266">
        <f>VLOOKUP(Vlookup!$B153,'CDCM Volume Forecasts'!$A$28:$AL$136,G$143,FALSE)</f>
        <v>0</v>
      </c>
      <c r="H194" s="266">
        <f>VLOOKUP(Vlookup!$B153,'CDCM Volume Forecasts'!$A$28:$AL$136,H$143,FALSE)</f>
        <v>1.4026004999999999</v>
      </c>
      <c r="I194" s="7"/>
      <c r="J194"/>
      <c r="K194"/>
      <c r="L194"/>
    </row>
    <row r="195" spans="1:12" ht="15">
      <c r="A195" s="12" t="s">
        <v>136</v>
      </c>
      <c r="B195" s="290"/>
      <c r="C195" s="290"/>
      <c r="D195" s="290"/>
      <c r="E195" s="290"/>
      <c r="F195" s="290"/>
      <c r="G195" s="290"/>
      <c r="H195" s="290"/>
      <c r="I195" s="7"/>
      <c r="J195"/>
      <c r="K195"/>
      <c r="L195"/>
    </row>
    <row r="196" spans="1:12" ht="15">
      <c r="A196" s="8" t="s">
        <v>73</v>
      </c>
      <c r="B196" s="266">
        <f>VLOOKUP(Vlookup!$B155,'CDCM Volume Forecasts'!$A$28:$AL$136,B$143,FALSE)</f>
        <v>153504.23635739877</v>
      </c>
      <c r="C196" s="266">
        <f>VLOOKUP(Vlookup!$B155,'CDCM Volume Forecasts'!$A$28:$AL$136,C$143,FALSE)</f>
        <v>1093420.3303867856</v>
      </c>
      <c r="D196" s="266">
        <f>VLOOKUP(Vlookup!$B155,'CDCM Volume Forecasts'!$A$28:$AL$136,D$143,FALSE)</f>
        <v>1183755.4135911537</v>
      </c>
      <c r="E196" s="266">
        <f>VLOOKUP(Vlookup!$B155,'CDCM Volume Forecasts'!$A$28:$AL$136,E$143,FALSE)</f>
        <v>1060.270602740768</v>
      </c>
      <c r="F196" s="266">
        <f>VLOOKUP(Vlookup!$B155,'CDCM Volume Forecasts'!$A$28:$AL$136,F$143,FALSE)</f>
        <v>854296.8159186152</v>
      </c>
      <c r="G196" s="266">
        <f>VLOOKUP(Vlookup!$B155,'CDCM Volume Forecasts'!$A$28:$AL$136,G$143,FALSE)</f>
        <v>14165.401246932342</v>
      </c>
      <c r="H196" s="266">
        <f>VLOOKUP(Vlookup!$B155,'CDCM Volume Forecasts'!$A$28:$AL$136,H$143,FALSE)</f>
        <v>163805.20245465485</v>
      </c>
      <c r="I196" s="7"/>
      <c r="J196"/>
      <c r="K196"/>
      <c r="L196"/>
    </row>
    <row r="197" spans="1:12" ht="15">
      <c r="A197" s="8" t="s">
        <v>137</v>
      </c>
      <c r="B197" s="266">
        <f>VLOOKUP(Vlookup!$B156,'CDCM Volume Forecasts'!$A$28:$AL$136,B$143,FALSE)</f>
        <v>835.56520149345931</v>
      </c>
      <c r="C197" s="266">
        <f>VLOOKUP(Vlookup!$B156,'CDCM Volume Forecasts'!$A$28:$AL$136,C$143,FALSE)</f>
        <v>5354.5554566887531</v>
      </c>
      <c r="D197" s="266">
        <f>VLOOKUP(Vlookup!$B156,'CDCM Volume Forecasts'!$A$28:$AL$136,D$143,FALSE)</f>
        <v>7404.6287378891438</v>
      </c>
      <c r="E197" s="266">
        <f>VLOOKUP(Vlookup!$B156,'CDCM Volume Forecasts'!$A$28:$AL$136,E$143,FALSE)</f>
        <v>7.7141773972602756</v>
      </c>
      <c r="F197" s="266">
        <f>VLOOKUP(Vlookup!$B156,'CDCM Volume Forecasts'!$A$28:$AL$136,F$143,FALSE)</f>
        <v>12519.13216438356</v>
      </c>
      <c r="G197" s="266">
        <f>VLOOKUP(Vlookup!$B156,'CDCM Volume Forecasts'!$A$28:$AL$136,G$143,FALSE)</f>
        <v>0</v>
      </c>
      <c r="H197" s="266">
        <f>VLOOKUP(Vlookup!$B156,'CDCM Volume Forecasts'!$A$28:$AL$136,H$143,FALSE)</f>
        <v>256.52510143448279</v>
      </c>
      <c r="I197" s="7"/>
      <c r="J197"/>
      <c r="K197"/>
      <c r="L197"/>
    </row>
    <row r="198" spans="1:12" ht="15">
      <c r="A198" s="12" t="s">
        <v>138</v>
      </c>
      <c r="B198" s="290"/>
      <c r="C198" s="290"/>
      <c r="D198" s="290"/>
      <c r="E198" s="290"/>
      <c r="F198" s="290"/>
      <c r="G198" s="290"/>
      <c r="H198" s="290"/>
      <c r="I198" s="7"/>
      <c r="J198"/>
      <c r="K198"/>
      <c r="L198"/>
    </row>
    <row r="199" spans="1:12" ht="15">
      <c r="A199" s="8" t="s">
        <v>93</v>
      </c>
      <c r="B199" s="266">
        <f>VLOOKUP(Vlookup!$B158,'CDCM Volume Forecasts'!$A$28:$AL$136,B$143,FALSE)</f>
        <v>10121.811870412395</v>
      </c>
      <c r="C199" s="292"/>
      <c r="D199" s="292"/>
      <c r="E199" s="266">
        <f>VLOOKUP(Vlookup!$B158,'CDCM Volume Forecasts'!$A$28:$AL$136,E$143,FALSE)</f>
        <v>741</v>
      </c>
      <c r="F199" s="292"/>
      <c r="G199" s="292"/>
      <c r="H199" s="292"/>
      <c r="I199" s="7"/>
      <c r="J199"/>
      <c r="K199"/>
      <c r="L199"/>
    </row>
    <row r="200" spans="1:12" ht="15">
      <c r="A200" s="8" t="s">
        <v>139</v>
      </c>
      <c r="B200" s="266">
        <f>VLOOKUP(Vlookup!$B159,'CDCM Volume Forecasts'!$A$28:$AL$136,B$143,FALSE)</f>
        <v>136.7981201637931</v>
      </c>
      <c r="C200" s="292"/>
      <c r="D200" s="292"/>
      <c r="E200" s="266">
        <f>VLOOKUP(Vlookup!$B159,'CDCM Volume Forecasts'!$A$28:$AL$136,E$143,FALSE)</f>
        <v>0</v>
      </c>
      <c r="F200" s="292"/>
      <c r="G200" s="292"/>
      <c r="H200" s="292"/>
      <c r="I200" s="7"/>
      <c r="J200"/>
      <c r="K200"/>
      <c r="L200"/>
    </row>
    <row r="201" spans="1:12" ht="15">
      <c r="A201" s="8" t="s">
        <v>140</v>
      </c>
      <c r="B201" s="266">
        <f>VLOOKUP(Vlookup!$B160,'CDCM Volume Forecasts'!$A$28:$AL$136,B$143,FALSE)</f>
        <v>23.736825</v>
      </c>
      <c r="C201" s="292"/>
      <c r="D201" s="292"/>
      <c r="E201" s="266">
        <f>VLOOKUP(Vlookup!$B160,'CDCM Volume Forecasts'!$A$28:$AL$136,E$143,FALSE)</f>
        <v>0</v>
      </c>
      <c r="F201" s="292"/>
      <c r="G201" s="292"/>
      <c r="H201" s="292"/>
      <c r="I201" s="7"/>
      <c r="J201"/>
      <c r="K201"/>
      <c r="L201"/>
    </row>
    <row r="202" spans="1:12" ht="15">
      <c r="A202" s="12" t="s">
        <v>141</v>
      </c>
      <c r="B202" s="290"/>
      <c r="C202" s="290"/>
      <c r="D202" s="290"/>
      <c r="E202" s="290"/>
      <c r="F202" s="290"/>
      <c r="G202" s="290"/>
      <c r="H202" s="290"/>
      <c r="I202" s="7"/>
      <c r="J202"/>
      <c r="K202"/>
      <c r="L202"/>
    </row>
    <row r="203" spans="1:12" ht="15">
      <c r="A203" s="8" t="s">
        <v>94</v>
      </c>
      <c r="B203" s="266">
        <f>VLOOKUP(Vlookup!$B162,'CDCM Volume Forecasts'!$A$28:$AL$136,B$143,FALSE)</f>
        <v>7712.9716131438981</v>
      </c>
      <c r="C203" s="292"/>
      <c r="D203" s="292"/>
      <c r="E203" s="266">
        <f>VLOOKUP(Vlookup!$B162,'CDCM Volume Forecasts'!$A$28:$AL$136,E$143,FALSE)</f>
        <v>689</v>
      </c>
      <c r="F203" s="292"/>
      <c r="G203" s="292"/>
      <c r="H203" s="292"/>
      <c r="I203" s="7"/>
      <c r="J203"/>
      <c r="K203"/>
      <c r="L203"/>
    </row>
    <row r="204" spans="1:12" ht="15">
      <c r="A204" s="8" t="s">
        <v>142</v>
      </c>
      <c r="B204" s="266">
        <f>VLOOKUP(Vlookup!$B163,'CDCM Volume Forecasts'!$A$28:$AL$136,B$143,FALSE)</f>
        <v>75.667019508620697</v>
      </c>
      <c r="C204" s="292"/>
      <c r="D204" s="292"/>
      <c r="E204" s="266">
        <f>VLOOKUP(Vlookup!$B163,'CDCM Volume Forecasts'!$A$28:$AL$136,E$143,FALSE)</f>
        <v>0</v>
      </c>
      <c r="F204" s="292"/>
      <c r="G204" s="292"/>
      <c r="H204" s="292"/>
      <c r="I204" s="7"/>
      <c r="J204"/>
      <c r="K204"/>
      <c r="L204"/>
    </row>
    <row r="205" spans="1:12" ht="15">
      <c r="A205" s="8" t="s">
        <v>143</v>
      </c>
      <c r="B205" s="266">
        <f>VLOOKUP(Vlookup!$B164,'CDCM Volume Forecasts'!$A$28:$AL$136,B$143,FALSE)</f>
        <v>301.33748599137931</v>
      </c>
      <c r="C205" s="292"/>
      <c r="D205" s="292"/>
      <c r="E205" s="266">
        <f>VLOOKUP(Vlookup!$B164,'CDCM Volume Forecasts'!$A$28:$AL$136,E$143,FALSE)</f>
        <v>0</v>
      </c>
      <c r="F205" s="292"/>
      <c r="G205" s="292"/>
      <c r="H205" s="292"/>
      <c r="I205" s="7"/>
      <c r="J205"/>
      <c r="K205"/>
      <c r="L205"/>
    </row>
    <row r="206" spans="1:12" ht="15">
      <c r="A206" s="12" t="s">
        <v>144</v>
      </c>
      <c r="B206" s="290"/>
      <c r="C206" s="290"/>
      <c r="D206" s="290"/>
      <c r="E206" s="290"/>
      <c r="F206" s="290"/>
      <c r="G206" s="290"/>
      <c r="H206" s="290"/>
      <c r="I206" s="7"/>
      <c r="J206"/>
      <c r="K206"/>
      <c r="L206"/>
    </row>
    <row r="207" spans="1:12" ht="15">
      <c r="A207" s="8" t="s">
        <v>95</v>
      </c>
      <c r="B207" s="266">
        <f>VLOOKUP(Vlookup!$B166,'CDCM Volume Forecasts'!$A$28:$AL$136,B$143,FALSE)</f>
        <v>989.1872895940935</v>
      </c>
      <c r="C207" s="292"/>
      <c r="D207" s="292"/>
      <c r="E207" s="266">
        <f>VLOOKUP(Vlookup!$B166,'CDCM Volume Forecasts'!$A$28:$AL$136,E$143,FALSE)</f>
        <v>179</v>
      </c>
      <c r="F207" s="292"/>
      <c r="G207" s="292"/>
      <c r="H207" s="292"/>
      <c r="I207" s="7"/>
      <c r="J207"/>
      <c r="K207"/>
      <c r="L207"/>
    </row>
    <row r="208" spans="1:12" ht="15">
      <c r="A208" s="8" t="s">
        <v>145</v>
      </c>
      <c r="B208" s="266">
        <f>VLOOKUP(Vlookup!$B167,'CDCM Volume Forecasts'!$A$28:$AL$136,B$143,FALSE)</f>
        <v>5.1353499568965537</v>
      </c>
      <c r="C208" s="292"/>
      <c r="D208" s="292"/>
      <c r="E208" s="266">
        <f>VLOOKUP(Vlookup!$B167,'CDCM Volume Forecasts'!$A$28:$AL$136,E$143,FALSE)</f>
        <v>0</v>
      </c>
      <c r="F208" s="292"/>
      <c r="G208" s="292"/>
      <c r="H208" s="292"/>
      <c r="I208" s="7"/>
      <c r="J208"/>
      <c r="K208"/>
      <c r="L208"/>
    </row>
    <row r="209" spans="1:12" ht="15">
      <c r="A209" s="8" t="s">
        <v>146</v>
      </c>
      <c r="B209" s="266">
        <f>VLOOKUP(Vlookup!$B168,'CDCM Volume Forecasts'!$A$28:$AL$136,B$143,FALSE)</f>
        <v>2.9883946810344835</v>
      </c>
      <c r="C209" s="292"/>
      <c r="D209" s="292"/>
      <c r="E209" s="266">
        <f>VLOOKUP(Vlookup!$B168,'CDCM Volume Forecasts'!$A$28:$AL$136,E$143,FALSE)</f>
        <v>0</v>
      </c>
      <c r="F209" s="292"/>
      <c r="G209" s="292"/>
      <c r="H209" s="292"/>
      <c r="I209" s="7"/>
      <c r="J209"/>
      <c r="K209"/>
      <c r="L209"/>
    </row>
    <row r="210" spans="1:12" ht="15">
      <c r="A210" s="12" t="s">
        <v>147</v>
      </c>
      <c r="B210" s="290"/>
      <c r="C210" s="290"/>
      <c r="D210" s="290"/>
      <c r="E210" s="290"/>
      <c r="F210" s="290"/>
      <c r="G210" s="290"/>
      <c r="H210" s="290"/>
      <c r="I210" s="7"/>
      <c r="J210"/>
      <c r="K210"/>
      <c r="L210"/>
    </row>
    <row r="211" spans="1:12" ht="15">
      <c r="A211" s="8" t="s">
        <v>96</v>
      </c>
      <c r="B211" s="266">
        <f>VLOOKUP(Vlookup!$B170,'CDCM Volume Forecasts'!$A$28:$AL$136,B$143,FALSE)</f>
        <v>0</v>
      </c>
      <c r="C211" s="292"/>
      <c r="D211" s="292"/>
      <c r="E211" s="266">
        <f>VLOOKUP(Vlookup!$B170,'CDCM Volume Forecasts'!$A$28:$AL$136,E$143,FALSE)</f>
        <v>1</v>
      </c>
      <c r="F211" s="292"/>
      <c r="G211" s="292"/>
      <c r="H211" s="292"/>
      <c r="I211" s="7"/>
      <c r="J211"/>
      <c r="K211"/>
      <c r="L211"/>
    </row>
    <row r="212" spans="1:12" ht="15">
      <c r="A212" s="8" t="s">
        <v>148</v>
      </c>
      <c r="B212" s="266">
        <f>VLOOKUP(Vlookup!$B171,'CDCM Volume Forecasts'!$A$28:$AL$136,B$143,FALSE)</f>
        <v>0</v>
      </c>
      <c r="C212" s="292"/>
      <c r="D212" s="292"/>
      <c r="E212" s="266">
        <f>VLOOKUP(Vlookup!$B171,'CDCM Volume Forecasts'!$A$28:$AL$136,E$143,FALSE)</f>
        <v>0</v>
      </c>
      <c r="F212" s="292"/>
      <c r="G212" s="292"/>
      <c r="H212" s="292"/>
      <c r="I212" s="7"/>
      <c r="J212"/>
      <c r="K212"/>
      <c r="L212"/>
    </row>
    <row r="213" spans="1:12" ht="15">
      <c r="A213" s="8" t="s">
        <v>149</v>
      </c>
      <c r="B213" s="266">
        <f>VLOOKUP(Vlookup!$B172,'CDCM Volume Forecasts'!$A$28:$AL$136,B$143,FALSE)</f>
        <v>0</v>
      </c>
      <c r="C213" s="292"/>
      <c r="D213" s="292"/>
      <c r="E213" s="266">
        <f>VLOOKUP(Vlookup!$B172,'CDCM Volume Forecasts'!$A$28:$AL$136,E$143,FALSE)</f>
        <v>0</v>
      </c>
      <c r="F213" s="292"/>
      <c r="G213" s="292"/>
      <c r="H213" s="292"/>
      <c r="I213" s="7"/>
      <c r="J213"/>
      <c r="K213"/>
      <c r="L213"/>
    </row>
    <row r="214" spans="1:12" ht="15">
      <c r="A214" s="12" t="s">
        <v>150</v>
      </c>
      <c r="B214" s="290"/>
      <c r="C214" s="290"/>
      <c r="D214" s="290"/>
      <c r="E214" s="290"/>
      <c r="F214" s="290"/>
      <c r="G214" s="290"/>
      <c r="H214" s="290"/>
      <c r="I214" s="7"/>
      <c r="J214"/>
      <c r="K214"/>
      <c r="L214"/>
    </row>
    <row r="215" spans="1:12" ht="15">
      <c r="A215" s="8" t="s">
        <v>97</v>
      </c>
      <c r="B215" s="266">
        <f>VLOOKUP(Vlookup!$B174,'CDCM Volume Forecasts'!$A$28:$AL$136,B$143,FALSE)</f>
        <v>4105.9859496450399</v>
      </c>
      <c r="C215" s="266">
        <f>VLOOKUP(Vlookup!$B174,'CDCM Volume Forecasts'!$A$28:$AL$136,C$143,FALSE)</f>
        <v>29544.034960210251</v>
      </c>
      <c r="D215" s="266">
        <f>VLOOKUP(Vlookup!$B174,'CDCM Volume Forecasts'!$A$28:$AL$136,D$143,FALSE)</f>
        <v>79785.804627936566</v>
      </c>
      <c r="E215" s="266">
        <f>VLOOKUP(Vlookup!$B174,'CDCM Volume Forecasts'!$A$28:$AL$136,E$143,FALSE)</f>
        <v>27.444162911866147</v>
      </c>
      <c r="F215" s="292"/>
      <c r="G215" s="292"/>
      <c r="H215" s="292"/>
      <c r="I215" s="7"/>
      <c r="J215"/>
      <c r="K215"/>
      <c r="L215"/>
    </row>
    <row r="216" spans="1:12" ht="15">
      <c r="A216" s="8" t="s">
        <v>151</v>
      </c>
      <c r="B216" s="266">
        <f>VLOOKUP(Vlookup!$B175,'CDCM Volume Forecasts'!$A$28:$AL$136,B$143,FALSE)</f>
        <v>0</v>
      </c>
      <c r="C216" s="266">
        <f>VLOOKUP(Vlookup!$B175,'CDCM Volume Forecasts'!$A$28:$AL$136,C$143,FALSE)</f>
        <v>0</v>
      </c>
      <c r="D216" s="266">
        <f>VLOOKUP(Vlookup!$B175,'CDCM Volume Forecasts'!$A$28:$AL$136,D$143,FALSE)</f>
        <v>0</v>
      </c>
      <c r="E216" s="266">
        <f>VLOOKUP(Vlookup!$B175,'CDCM Volume Forecasts'!$A$28:$AL$136,E$143,FALSE)</f>
        <v>0</v>
      </c>
      <c r="F216" s="292"/>
      <c r="G216" s="292"/>
      <c r="H216" s="292"/>
      <c r="I216" s="7"/>
      <c r="J216"/>
      <c r="K216"/>
      <c r="L216"/>
    </row>
    <row r="217" spans="1:12" ht="15">
      <c r="A217" s="8" t="s">
        <v>152</v>
      </c>
      <c r="B217" s="266">
        <f>VLOOKUP(Vlookup!$B176,'CDCM Volume Forecasts'!$A$28:$AL$136,B$143,FALSE)</f>
        <v>1.582648648170732</v>
      </c>
      <c r="C217" s="266">
        <f>VLOOKUP(Vlookup!$B176,'CDCM Volume Forecasts'!$A$28:$AL$136,C$143,FALSE)</f>
        <v>5.703542262359643</v>
      </c>
      <c r="D217" s="266">
        <f>VLOOKUP(Vlookup!$B176,'CDCM Volume Forecasts'!$A$28:$AL$136,D$143,FALSE)</f>
        <v>35.255484612621792</v>
      </c>
      <c r="E217" s="266">
        <f>VLOOKUP(Vlookup!$B176,'CDCM Volume Forecasts'!$A$28:$AL$136,E$143,FALSE)</f>
        <v>1.1758993150684933</v>
      </c>
      <c r="F217" s="292"/>
      <c r="G217" s="292"/>
      <c r="H217" s="292"/>
      <c r="I217" s="7"/>
      <c r="J217"/>
      <c r="K217"/>
      <c r="L217"/>
    </row>
    <row r="218" spans="1:12" ht="15">
      <c r="A218" s="288" t="s">
        <v>1179</v>
      </c>
      <c r="B218" s="290"/>
      <c r="C218" s="290"/>
      <c r="D218" s="290"/>
      <c r="E218" s="290"/>
      <c r="F218" s="290"/>
      <c r="G218" s="290"/>
      <c r="H218" s="290"/>
      <c r="I218" s="7"/>
      <c r="J218"/>
      <c r="K218"/>
      <c r="L218"/>
    </row>
    <row r="219" spans="1:12" ht="15">
      <c r="A219" s="285" t="s">
        <v>1176</v>
      </c>
      <c r="B219" s="266">
        <f>VLOOKUP(Vlookup!$B178,'CDCM Volume Forecasts'!$A$28:$AL$136,B$143,FALSE)</f>
        <v>3214.7578266896548</v>
      </c>
      <c r="C219" s="292"/>
      <c r="D219" s="292"/>
      <c r="E219" s="266">
        <f>VLOOKUP(Vlookup!$B178,'CDCM Volume Forecasts'!$A$28:$AL$136,E$143,FALSE)</f>
        <v>286</v>
      </c>
      <c r="F219" s="292"/>
      <c r="G219" s="292"/>
      <c r="H219" s="292"/>
      <c r="I219" s="7"/>
      <c r="J219"/>
      <c r="K219"/>
      <c r="L219"/>
    </row>
    <row r="220" spans="1:12" ht="15">
      <c r="A220" s="285" t="s">
        <v>1173</v>
      </c>
      <c r="B220" s="266">
        <f>VLOOKUP(Vlookup!$B179,'CDCM Volume Forecasts'!$A$28:$AL$136,B$143,FALSE)</f>
        <v>132.89592165517243</v>
      </c>
      <c r="C220" s="292"/>
      <c r="D220" s="292"/>
      <c r="E220" s="266">
        <f>VLOOKUP(Vlookup!$B179,'CDCM Volume Forecasts'!$A$28:$AL$136,E$143,FALSE)</f>
        <v>0</v>
      </c>
      <c r="F220" s="292"/>
      <c r="G220" s="292"/>
      <c r="H220" s="292"/>
      <c r="I220" s="7"/>
      <c r="J220"/>
      <c r="K220"/>
      <c r="L220"/>
    </row>
    <row r="221" spans="1:12" ht="15">
      <c r="A221" s="285" t="s">
        <v>1170</v>
      </c>
      <c r="B221" s="266">
        <f>VLOOKUP(Vlookup!$B180,'CDCM Volume Forecasts'!$A$28:$AL$136,B$143,FALSE)</f>
        <v>0</v>
      </c>
      <c r="C221" s="292"/>
      <c r="D221" s="292"/>
      <c r="E221" s="266">
        <f>VLOOKUP(Vlookup!$B180,'CDCM Volume Forecasts'!$A$28:$AL$136,E$143,FALSE)</f>
        <v>0</v>
      </c>
      <c r="F221" s="292"/>
      <c r="G221" s="292"/>
      <c r="H221" s="292"/>
      <c r="I221" s="7"/>
      <c r="J221"/>
      <c r="K221"/>
      <c r="L221"/>
    </row>
    <row r="222" spans="1:12" ht="15">
      <c r="A222" s="288" t="s">
        <v>153</v>
      </c>
      <c r="B222" s="290"/>
      <c r="C222" s="290"/>
      <c r="D222" s="290"/>
      <c r="E222" s="290"/>
      <c r="F222" s="290"/>
      <c r="G222" s="290"/>
      <c r="H222" s="290"/>
      <c r="I222" s="7"/>
      <c r="J222"/>
      <c r="K222"/>
      <c r="L222"/>
    </row>
    <row r="223" spans="1:12" ht="15">
      <c r="A223" s="285" t="s">
        <v>62</v>
      </c>
      <c r="B223" s="266">
        <f>VLOOKUP(Vlookup!$B182,'CDCM Volume Forecasts'!$A$28:$AL$136,B$143,FALSE)</f>
        <v>92.074856879310332</v>
      </c>
      <c r="C223" s="292"/>
      <c r="D223" s="292"/>
      <c r="E223" s="266">
        <f>VLOOKUP(Vlookup!$B182,'CDCM Volume Forecasts'!$A$28:$AL$136,E$143,FALSE)</f>
        <v>1</v>
      </c>
      <c r="F223" s="292"/>
      <c r="G223" s="292"/>
      <c r="H223" s="292"/>
      <c r="I223" s="7"/>
      <c r="J223"/>
      <c r="K223"/>
      <c r="L223"/>
    </row>
    <row r="224" spans="1:12" ht="15">
      <c r="A224" s="285" t="s">
        <v>154</v>
      </c>
      <c r="B224" s="266">
        <f>VLOOKUP(Vlookup!$B183,'CDCM Volume Forecasts'!$A$28:$AL$136,B$143,FALSE)</f>
        <v>0</v>
      </c>
      <c r="C224" s="292"/>
      <c r="D224" s="292"/>
      <c r="E224" s="266">
        <f>VLOOKUP(Vlookup!$B183,'CDCM Volume Forecasts'!$A$28:$AL$136,E$143,FALSE)</f>
        <v>0</v>
      </c>
      <c r="F224" s="292"/>
      <c r="G224" s="292"/>
      <c r="H224" s="292"/>
      <c r="I224" s="7"/>
      <c r="J224"/>
      <c r="K224"/>
      <c r="L224"/>
    </row>
    <row r="225" spans="1:12" ht="15">
      <c r="A225" s="288" t="s">
        <v>155</v>
      </c>
      <c r="B225" s="290"/>
      <c r="C225" s="290"/>
      <c r="D225" s="290"/>
      <c r="E225" s="290"/>
      <c r="F225" s="290"/>
      <c r="G225" s="290"/>
      <c r="H225" s="290"/>
      <c r="I225" s="7"/>
      <c r="J225"/>
      <c r="K225"/>
      <c r="L225"/>
    </row>
    <row r="226" spans="1:12" ht="15">
      <c r="A226" s="285" t="s">
        <v>63</v>
      </c>
      <c r="B226" s="266">
        <f>VLOOKUP(Vlookup!$B185,'CDCM Volume Forecasts'!$A$28:$AL$136,B$143,FALSE)</f>
        <v>78529.095040948305</v>
      </c>
      <c r="C226" s="292"/>
      <c r="D226" s="292"/>
      <c r="E226" s="266">
        <f>VLOOKUP(Vlookup!$B185,'CDCM Volume Forecasts'!$A$28:$AL$136,E$143,FALSE)</f>
        <v>887.02632534246584</v>
      </c>
      <c r="F226" s="292"/>
      <c r="G226" s="292"/>
      <c r="H226" s="266">
        <f>VLOOKUP(Vlookup!$B185,'CDCM Volume Forecasts'!$A$28:$AL$136,H$143,FALSE)</f>
        <v>6221.8592215431045</v>
      </c>
      <c r="I226" s="7"/>
      <c r="J226"/>
      <c r="K226"/>
      <c r="L226"/>
    </row>
    <row r="227" spans="1:12" ht="15">
      <c r="A227" s="285" t="s">
        <v>156</v>
      </c>
      <c r="B227" s="266">
        <f>VLOOKUP(Vlookup!$B186,'CDCM Volume Forecasts'!$A$28:$AL$136,B$143,FALSE)</f>
        <v>0</v>
      </c>
      <c r="C227" s="292"/>
      <c r="D227" s="292"/>
      <c r="E227" s="266">
        <f>VLOOKUP(Vlookup!$B186,'CDCM Volume Forecasts'!$A$28:$AL$136,E$143,FALSE)</f>
        <v>0</v>
      </c>
      <c r="F227" s="292"/>
      <c r="G227" s="292"/>
      <c r="H227" s="266">
        <f>VLOOKUP(Vlookup!$B186,'CDCM Volume Forecasts'!$A$28:$AL$136,H$143,FALSE)</f>
        <v>0</v>
      </c>
      <c r="I227" s="7"/>
      <c r="J227"/>
      <c r="K227"/>
      <c r="L227"/>
    </row>
    <row r="228" spans="1:12" ht="15">
      <c r="A228" s="285" t="s">
        <v>157</v>
      </c>
      <c r="B228" s="266">
        <f>VLOOKUP(Vlookup!$B187,'CDCM Volume Forecasts'!$A$28:$AL$136,B$143,FALSE)</f>
        <v>1158.4981509517236</v>
      </c>
      <c r="C228" s="292"/>
      <c r="D228" s="292"/>
      <c r="E228" s="266">
        <f>VLOOKUP(Vlookup!$B187,'CDCM Volume Forecasts'!$A$28:$AL$136,E$143,FALSE)</f>
        <v>3.2634739726027386</v>
      </c>
      <c r="F228" s="292"/>
      <c r="G228" s="292"/>
      <c r="H228" s="266">
        <f>VLOOKUP(Vlookup!$B187,'CDCM Volume Forecasts'!$A$28:$AL$136,H$143,FALSE)</f>
        <v>14.619248242758623</v>
      </c>
      <c r="I228" s="7"/>
      <c r="J228"/>
      <c r="K228"/>
      <c r="L228"/>
    </row>
    <row r="229" spans="1:12" ht="15">
      <c r="A229" s="288" t="s">
        <v>1559</v>
      </c>
      <c r="B229" s="290"/>
      <c r="C229" s="290"/>
      <c r="D229" s="290"/>
      <c r="E229" s="290"/>
      <c r="F229" s="290"/>
      <c r="G229" s="290"/>
      <c r="H229" s="290"/>
      <c r="I229" s="7"/>
      <c r="J229"/>
      <c r="K229"/>
      <c r="L229"/>
    </row>
    <row r="230" spans="1:12" ht="15">
      <c r="A230" s="285" t="s">
        <v>1516</v>
      </c>
      <c r="B230" s="266">
        <f>VLOOKUP(Vlookup!$B189,'CDCM Volume Forecasts'!$A$28:$AL$136,B$143,FALSE)</f>
        <v>0</v>
      </c>
      <c r="C230" s="292"/>
      <c r="D230" s="292"/>
      <c r="E230" s="266">
        <f>VLOOKUP(Vlookup!$B189,'CDCM Volume Forecasts'!$A$28:$AL$136,E$143,FALSE)</f>
        <v>0</v>
      </c>
      <c r="F230" s="292"/>
      <c r="G230" s="292"/>
      <c r="H230" s="292"/>
      <c r="I230" s="7"/>
      <c r="J230"/>
      <c r="K230"/>
      <c r="L230"/>
    </row>
    <row r="231" spans="1:12" ht="15">
      <c r="A231" s="288" t="s">
        <v>158</v>
      </c>
      <c r="B231" s="290"/>
      <c r="C231" s="290"/>
      <c r="D231" s="290"/>
      <c r="E231" s="290"/>
      <c r="F231" s="290"/>
      <c r="G231" s="290"/>
      <c r="H231" s="290"/>
      <c r="I231" s="7"/>
      <c r="J231"/>
      <c r="K231"/>
      <c r="L231"/>
    </row>
    <row r="232" spans="1:12" ht="15">
      <c r="A232" s="285" t="s">
        <v>64</v>
      </c>
      <c r="B232" s="266">
        <f>VLOOKUP(Vlookup!$B191,'CDCM Volume Forecasts'!$A$28:$AL$136,B$143,FALSE)</f>
        <v>150.22435028789201</v>
      </c>
      <c r="C232" s="266">
        <f>VLOOKUP(Vlookup!$B191,'CDCM Volume Forecasts'!$A$28:$AL$136,C$143,FALSE)</f>
        <v>933.01718610068747</v>
      </c>
      <c r="D232" s="266">
        <f>VLOOKUP(Vlookup!$B191,'CDCM Volume Forecasts'!$A$28:$AL$136,D$143,FALSE)</f>
        <v>1215.9778554005959</v>
      </c>
      <c r="E232" s="266">
        <f>VLOOKUP(Vlookup!$B191,'CDCM Volume Forecasts'!$A$28:$AL$136,E$143,FALSE)</f>
        <v>16.428914383561644</v>
      </c>
      <c r="F232" s="292"/>
      <c r="G232" s="292"/>
      <c r="H232" s="266">
        <f>VLOOKUP(Vlookup!$B191,'CDCM Volume Forecasts'!$A$28:$AL$136,H$143,FALSE)</f>
        <v>631.56368132758632</v>
      </c>
      <c r="I232" s="7"/>
      <c r="J232"/>
      <c r="K232"/>
      <c r="L232"/>
    </row>
    <row r="233" spans="1:12" ht="15">
      <c r="A233" s="285" t="s">
        <v>159</v>
      </c>
      <c r="B233" s="266">
        <f>VLOOKUP(Vlookup!$B192,'CDCM Volume Forecasts'!$A$28:$AL$136,B$143,FALSE)</f>
        <v>0</v>
      </c>
      <c r="C233" s="266">
        <f>VLOOKUP(Vlookup!$B192,'CDCM Volume Forecasts'!$A$28:$AL$136,C$143,FALSE)</f>
        <v>0</v>
      </c>
      <c r="D233" s="266">
        <f>VLOOKUP(Vlookup!$B192,'CDCM Volume Forecasts'!$A$28:$AL$136,D$143,FALSE)</f>
        <v>0</v>
      </c>
      <c r="E233" s="266">
        <f>VLOOKUP(Vlookup!$B192,'CDCM Volume Forecasts'!$A$28:$AL$136,E$143,FALSE)</f>
        <v>0</v>
      </c>
      <c r="F233" s="292"/>
      <c r="G233" s="292"/>
      <c r="H233" s="266">
        <f>VLOOKUP(Vlookup!$B192,'CDCM Volume Forecasts'!$A$28:$AL$136,H$143,FALSE)</f>
        <v>0</v>
      </c>
      <c r="I233" s="7"/>
      <c r="J233"/>
      <c r="K233"/>
      <c r="L233"/>
    </row>
    <row r="234" spans="1:12" ht="15">
      <c r="A234" s="285" t="s">
        <v>160</v>
      </c>
      <c r="B234" s="266">
        <f>VLOOKUP(Vlookup!$B193,'CDCM Volume Forecasts'!$A$28:$AL$136,B$143,FALSE)</f>
        <v>0</v>
      </c>
      <c r="C234" s="266">
        <f>VLOOKUP(Vlookup!$B193,'CDCM Volume Forecasts'!$A$28:$AL$136,C$143,FALSE)</f>
        <v>0</v>
      </c>
      <c r="D234" s="266">
        <f>VLOOKUP(Vlookup!$B193,'CDCM Volume Forecasts'!$A$28:$AL$136,D$143,FALSE)</f>
        <v>0</v>
      </c>
      <c r="E234" s="266">
        <f>VLOOKUP(Vlookup!$B193,'CDCM Volume Forecasts'!$A$28:$AL$136,E$143,FALSE)</f>
        <v>0</v>
      </c>
      <c r="F234" s="292"/>
      <c r="G234" s="292"/>
      <c r="H234" s="266">
        <f>VLOOKUP(Vlookup!$B193,'CDCM Volume Forecasts'!$A$28:$AL$136,H$143,FALSE)</f>
        <v>0</v>
      </c>
      <c r="I234" s="7"/>
      <c r="J234"/>
      <c r="K234"/>
      <c r="L234"/>
    </row>
    <row r="235" spans="1:12" ht="15">
      <c r="A235" s="288" t="s">
        <v>1560</v>
      </c>
      <c r="B235" s="290"/>
      <c r="C235" s="290"/>
      <c r="D235" s="290"/>
      <c r="E235" s="290"/>
      <c r="F235" s="290"/>
      <c r="G235" s="290"/>
      <c r="H235" s="290"/>
      <c r="I235" s="7"/>
      <c r="J235"/>
      <c r="K235"/>
      <c r="L235"/>
    </row>
    <row r="236" spans="1:12" ht="15">
      <c r="A236" s="285" t="s">
        <v>1517</v>
      </c>
      <c r="B236" s="266">
        <f>VLOOKUP(Vlookup!$B195,'CDCM Volume Forecasts'!$A$28:$AL$136,B$143,FALSE)</f>
        <v>0</v>
      </c>
      <c r="C236" s="266">
        <f>VLOOKUP(Vlookup!$B195,'CDCM Volume Forecasts'!$A$28:$AL$136,C$143,FALSE)</f>
        <v>0</v>
      </c>
      <c r="D236" s="266">
        <f>VLOOKUP(Vlookup!$B195,'CDCM Volume Forecasts'!$A$28:$AL$136,D$143,FALSE)</f>
        <v>0</v>
      </c>
      <c r="E236" s="266">
        <f>VLOOKUP(Vlookup!$B195,'CDCM Volume Forecasts'!$A$28:$AL$136,E$143,FALSE)</f>
        <v>0</v>
      </c>
      <c r="F236" s="292"/>
      <c r="G236" s="292"/>
      <c r="H236" s="292"/>
      <c r="I236" s="7"/>
      <c r="J236"/>
      <c r="K236"/>
      <c r="L236"/>
    </row>
    <row r="237" spans="1:12" ht="15">
      <c r="A237" s="288" t="s">
        <v>161</v>
      </c>
      <c r="B237" s="290"/>
      <c r="C237" s="290"/>
      <c r="D237" s="290"/>
      <c r="E237" s="290"/>
      <c r="F237" s="290"/>
      <c r="G237" s="290"/>
      <c r="H237" s="290"/>
      <c r="I237" s="7"/>
      <c r="J237"/>
      <c r="K237"/>
      <c r="L237"/>
    </row>
    <row r="238" spans="1:12" ht="15">
      <c r="A238" s="285" t="s">
        <v>65</v>
      </c>
      <c r="B238" s="266">
        <f>VLOOKUP(Vlookup!$B197,'CDCM Volume Forecasts'!$A$28:$AL$136,B$143,FALSE)</f>
        <v>13040.742602439654</v>
      </c>
      <c r="C238" s="292"/>
      <c r="D238" s="292"/>
      <c r="E238" s="266">
        <f>VLOOKUP(Vlookup!$B197,'CDCM Volume Forecasts'!$A$28:$AL$136,E$143,FALSE)</f>
        <v>121.63811301369863</v>
      </c>
      <c r="F238" s="292"/>
      <c r="G238" s="292"/>
      <c r="H238" s="266">
        <f>VLOOKUP(Vlookup!$B197,'CDCM Volume Forecasts'!$A$28:$AL$136,H$143,FALSE)</f>
        <v>1632.6222186810344</v>
      </c>
      <c r="I238" s="7"/>
      <c r="J238"/>
      <c r="K238"/>
      <c r="L238"/>
    </row>
    <row r="239" spans="1:12" ht="15">
      <c r="A239" s="285" t="s">
        <v>162</v>
      </c>
      <c r="B239" s="266">
        <f>VLOOKUP(Vlookup!$B198,'CDCM Volume Forecasts'!$A$28:$AL$136,B$143,FALSE)</f>
        <v>0</v>
      </c>
      <c r="C239" s="292"/>
      <c r="D239" s="292"/>
      <c r="E239" s="266">
        <f>VLOOKUP(Vlookup!$B198,'CDCM Volume Forecasts'!$A$28:$AL$136,E$143,FALSE)</f>
        <v>0</v>
      </c>
      <c r="F239" s="292"/>
      <c r="G239" s="292"/>
      <c r="H239" s="266">
        <f>VLOOKUP(Vlookup!$B198,'CDCM Volume Forecasts'!$A$28:$AL$136,H$143,FALSE)</f>
        <v>0</v>
      </c>
      <c r="I239" s="7"/>
      <c r="J239"/>
      <c r="K239"/>
      <c r="L239"/>
    </row>
    <row r="240" spans="1:12" ht="15">
      <c r="A240" s="288" t="s">
        <v>1561</v>
      </c>
      <c r="B240" s="290"/>
      <c r="C240" s="290"/>
      <c r="D240" s="290"/>
      <c r="E240" s="290"/>
      <c r="F240" s="290"/>
      <c r="G240" s="290"/>
      <c r="H240" s="290"/>
      <c r="I240" s="7"/>
      <c r="J240"/>
      <c r="K240"/>
      <c r="L240"/>
    </row>
    <row r="241" spans="1:12" ht="15">
      <c r="A241" s="285" t="s">
        <v>1518</v>
      </c>
      <c r="B241" s="266">
        <f>VLOOKUP(Vlookup!$B200,'CDCM Volume Forecasts'!$A$28:$AL$136,B$143,FALSE)</f>
        <v>0</v>
      </c>
      <c r="C241" s="292"/>
      <c r="D241" s="292"/>
      <c r="E241" s="266">
        <f>VLOOKUP(Vlookup!$B200,'CDCM Volume Forecasts'!$A$28:$AL$136,E$143,FALSE)</f>
        <v>0</v>
      </c>
      <c r="F241" s="292"/>
      <c r="G241" s="292"/>
      <c r="H241" s="292"/>
      <c r="I241" s="7"/>
      <c r="J241"/>
      <c r="K241"/>
      <c r="L241"/>
    </row>
    <row r="242" spans="1:12" ht="15">
      <c r="A242" s="288" t="s">
        <v>163</v>
      </c>
      <c r="B242" s="290"/>
      <c r="C242" s="290"/>
      <c r="D242" s="290"/>
      <c r="E242" s="290"/>
      <c r="F242" s="290"/>
      <c r="G242" s="290"/>
      <c r="H242" s="290"/>
      <c r="I242" s="7"/>
      <c r="J242"/>
      <c r="K242"/>
      <c r="L242"/>
    </row>
    <row r="243" spans="1:12" ht="15">
      <c r="A243" s="285" t="s">
        <v>66</v>
      </c>
      <c r="B243" s="266">
        <f>VLOOKUP(Vlookup!$B202,'CDCM Volume Forecasts'!$A$28:$AL$136,B$143,FALSE)</f>
        <v>262.77834065563309</v>
      </c>
      <c r="C243" s="266">
        <f>VLOOKUP(Vlookup!$B202,'CDCM Volume Forecasts'!$A$28:$AL$136,C$143,FALSE)</f>
        <v>1416.430282521459</v>
      </c>
      <c r="D243" s="266">
        <f>VLOOKUP(Vlookup!$B202,'CDCM Volume Forecasts'!$A$28:$AL$136,D$143,FALSE)</f>
        <v>2413.7732126878327</v>
      </c>
      <c r="E243" s="266">
        <f>VLOOKUP(Vlookup!$B202,'CDCM Volume Forecasts'!$A$28:$AL$136,E$143,FALSE)</f>
        <v>12.478949999999999</v>
      </c>
      <c r="F243" s="292"/>
      <c r="G243" s="292"/>
      <c r="H243" s="266">
        <f>VLOOKUP(Vlookup!$B202,'CDCM Volume Forecasts'!$A$28:$AL$136,H$143,FALSE)</f>
        <v>606.8858033017242</v>
      </c>
      <c r="I243" s="7"/>
      <c r="J243"/>
      <c r="K243"/>
      <c r="L243"/>
    </row>
    <row r="244" spans="1:12" ht="15">
      <c r="A244" s="285" t="s">
        <v>164</v>
      </c>
      <c r="B244" s="266">
        <f>VLOOKUP(Vlookup!$B203,'CDCM Volume Forecasts'!$A$28:$AL$136,B$143,FALSE)</f>
        <v>0</v>
      </c>
      <c r="C244" s="266">
        <f>VLOOKUP(Vlookup!$B203,'CDCM Volume Forecasts'!$A$28:$AL$136,C$143,FALSE)</f>
        <v>0</v>
      </c>
      <c r="D244" s="266">
        <f>VLOOKUP(Vlookup!$B203,'CDCM Volume Forecasts'!$A$28:$AL$136,D$143,FALSE)</f>
        <v>0</v>
      </c>
      <c r="E244" s="266">
        <f>VLOOKUP(Vlookup!$B203,'CDCM Volume Forecasts'!$A$28:$AL$136,E$143,FALSE)</f>
        <v>0</v>
      </c>
      <c r="F244" s="292"/>
      <c r="G244" s="292"/>
      <c r="H244" s="266">
        <f>VLOOKUP(Vlookup!$B203,'CDCM Volume Forecasts'!$A$28:$AL$136,H$143,FALSE)</f>
        <v>0</v>
      </c>
      <c r="I244" s="7"/>
      <c r="J244"/>
      <c r="K244"/>
      <c r="L244"/>
    </row>
    <row r="245" spans="1:12" ht="15">
      <c r="A245" s="288" t="s">
        <v>1562</v>
      </c>
      <c r="B245" s="290"/>
      <c r="C245" s="290"/>
      <c r="D245" s="290"/>
      <c r="E245" s="290"/>
      <c r="F245" s="290"/>
      <c r="G245" s="290"/>
      <c r="H245" s="290"/>
      <c r="I245" s="7"/>
      <c r="J245"/>
      <c r="K245"/>
      <c r="L245"/>
    </row>
    <row r="246" spans="1:12" ht="15">
      <c r="A246" s="285" t="s">
        <v>1519</v>
      </c>
      <c r="B246" s="266">
        <f>VLOOKUP(Vlookup!$B205,'CDCM Volume Forecasts'!$A$28:$AL$136,B$143,FALSE)</f>
        <v>0</v>
      </c>
      <c r="C246" s="266">
        <f>VLOOKUP(Vlookup!$B205,'CDCM Volume Forecasts'!$A$28:$AL$136,C$143,FALSE)</f>
        <v>0</v>
      </c>
      <c r="D246" s="266">
        <f>VLOOKUP(Vlookup!$B205,'CDCM Volume Forecasts'!$A$28:$AL$136,D$143,FALSE)</f>
        <v>0</v>
      </c>
      <c r="E246" s="266">
        <f>VLOOKUP(Vlookup!$B205,'CDCM Volume Forecasts'!$A$28:$AL$136,E$143,FALSE)</f>
        <v>0</v>
      </c>
      <c r="F246" s="292"/>
      <c r="G246" s="292"/>
      <c r="H246" s="292"/>
      <c r="I246" s="7"/>
      <c r="J246"/>
      <c r="K246"/>
      <c r="L246"/>
    </row>
    <row r="247" spans="1:12" ht="15">
      <c r="A247" s="288" t="s">
        <v>165</v>
      </c>
      <c r="B247" s="290"/>
      <c r="C247" s="290"/>
      <c r="D247" s="290"/>
      <c r="E247" s="290"/>
      <c r="F247" s="290"/>
      <c r="G247" s="290"/>
      <c r="H247" s="290"/>
      <c r="I247" s="7"/>
      <c r="J247"/>
      <c r="K247"/>
      <c r="L247"/>
    </row>
    <row r="248" spans="1:12" ht="15">
      <c r="A248" s="285" t="s">
        <v>74</v>
      </c>
      <c r="B248" s="266">
        <f>VLOOKUP(Vlookup!$B207,'CDCM Volume Forecasts'!$A$28:$AL$136,B$143,FALSE)</f>
        <v>408798.58803053456</v>
      </c>
      <c r="C248" s="292"/>
      <c r="D248" s="292"/>
      <c r="E248" s="266">
        <f>VLOOKUP(Vlookup!$B207,'CDCM Volume Forecasts'!$A$28:$AL$136,E$143,FALSE)</f>
        <v>237.99717534246571</v>
      </c>
      <c r="F248" s="292"/>
      <c r="G248" s="292"/>
      <c r="H248" s="266">
        <f>VLOOKUP(Vlookup!$B207,'CDCM Volume Forecasts'!$A$28:$AL$136,H$143,FALSE)</f>
        <v>3870.4537602500009</v>
      </c>
      <c r="I248" s="7"/>
      <c r="J248"/>
      <c r="K248"/>
      <c r="L248"/>
    </row>
    <row r="249" spans="1:12" ht="15">
      <c r="A249" s="285" t="s">
        <v>166</v>
      </c>
      <c r="B249" s="266">
        <f>VLOOKUP(Vlookup!$B208,'CDCM Volume Forecasts'!$A$28:$AL$136,B$143,FALSE)</f>
        <v>28.965318951724136</v>
      </c>
      <c r="C249" s="292"/>
      <c r="D249" s="292"/>
      <c r="E249" s="266">
        <f>VLOOKUP(Vlookup!$B208,'CDCM Volume Forecasts'!$A$28:$AL$136,E$143,FALSE)</f>
        <v>1.9710246575342465</v>
      </c>
      <c r="F249" s="292"/>
      <c r="G249" s="292"/>
      <c r="H249" s="266">
        <f>VLOOKUP(Vlookup!$B208,'CDCM Volume Forecasts'!$A$28:$AL$136,H$143,FALSE)</f>
        <v>0</v>
      </c>
      <c r="I249" s="7"/>
      <c r="J249"/>
      <c r="K249"/>
      <c r="L249"/>
    </row>
    <row r="250" spans="1:12" ht="15">
      <c r="A250" s="288" t="s">
        <v>1563</v>
      </c>
      <c r="B250" s="290"/>
      <c r="C250" s="290"/>
      <c r="D250" s="290"/>
      <c r="E250" s="290"/>
      <c r="F250" s="290"/>
      <c r="G250" s="290"/>
      <c r="H250" s="290"/>
      <c r="I250" s="7"/>
      <c r="J250"/>
      <c r="K250"/>
      <c r="L250"/>
    </row>
    <row r="251" spans="1:12" ht="15">
      <c r="A251" s="285" t="s">
        <v>1520</v>
      </c>
      <c r="B251" s="266">
        <f>VLOOKUP(Vlookup!$B210,'CDCM Volume Forecasts'!$A$28:$AL$136,B$143,FALSE)</f>
        <v>0</v>
      </c>
      <c r="C251" s="292"/>
      <c r="D251" s="292"/>
      <c r="E251" s="266">
        <f>VLOOKUP(Vlookup!$B210,'CDCM Volume Forecasts'!$A$28:$AL$136,E$143,FALSE)</f>
        <v>0</v>
      </c>
      <c r="F251" s="292"/>
      <c r="G251" s="292"/>
      <c r="H251" s="292"/>
      <c r="I251" s="7"/>
      <c r="J251"/>
      <c r="K251"/>
      <c r="L251"/>
    </row>
    <row r="252" spans="1:12" ht="15">
      <c r="A252" s="288" t="s">
        <v>167</v>
      </c>
      <c r="B252" s="290"/>
      <c r="C252" s="290"/>
      <c r="D252" s="290"/>
      <c r="E252" s="290"/>
      <c r="F252" s="290"/>
      <c r="G252" s="290"/>
      <c r="H252" s="290"/>
      <c r="I252" s="7"/>
      <c r="J252"/>
      <c r="K252"/>
      <c r="L252"/>
    </row>
    <row r="253" spans="1:12" ht="15">
      <c r="A253" s="285" t="s">
        <v>75</v>
      </c>
      <c r="B253" s="266">
        <f>VLOOKUP(Vlookup!$B212,'CDCM Volume Forecasts'!$A$28:$AL$136,B$143,FALSE)</f>
        <v>18175.24295154327</v>
      </c>
      <c r="C253" s="266">
        <f>VLOOKUP(Vlookup!$B212,'CDCM Volume Forecasts'!$A$28:$AL$136,C$143,FALSE)</f>
        <v>96563.406957456726</v>
      </c>
      <c r="D253" s="266">
        <f>VLOOKUP(Vlookup!$B212,'CDCM Volume Forecasts'!$A$28:$AL$136,D$143,FALSE)</f>
        <v>133398.79562824525</v>
      </c>
      <c r="E253" s="266">
        <f>VLOOKUP(Vlookup!$B212,'CDCM Volume Forecasts'!$A$28:$AL$136,E$143,FALSE)</f>
        <v>70.943264383561655</v>
      </c>
      <c r="F253" s="292"/>
      <c r="G253" s="292"/>
      <c r="H253" s="266">
        <f>VLOOKUP(Vlookup!$B212,'CDCM Volume Forecasts'!$A$28:$AL$136,H$143,FALSE)</f>
        <v>2452.5003561982758</v>
      </c>
      <c r="I253" s="7"/>
      <c r="J253"/>
      <c r="K253"/>
      <c r="L253"/>
    </row>
    <row r="254" spans="1:12" ht="15">
      <c r="A254" s="285" t="s">
        <v>168</v>
      </c>
      <c r="B254" s="266">
        <f>VLOOKUP(Vlookup!$B213,'CDCM Volume Forecasts'!$A$28:$AL$136,B$143,FALSE)</f>
        <v>6.9664922394678516E-2</v>
      </c>
      <c r="C254" s="266">
        <f>VLOOKUP(Vlookup!$B213,'CDCM Volume Forecasts'!$A$28:$AL$136,C$143,FALSE)</f>
        <v>0.88856101305223611</v>
      </c>
      <c r="D254" s="266">
        <f>VLOOKUP(Vlookup!$B213,'CDCM Volume Forecasts'!$A$28:$AL$136,D$143,FALSE)</f>
        <v>2.9569237396821908</v>
      </c>
      <c r="E254" s="266">
        <f>VLOOKUP(Vlookup!$B213,'CDCM Volume Forecasts'!$A$28:$AL$136,E$143,FALSE)</f>
        <v>1.3382136986301367</v>
      </c>
      <c r="F254" s="292"/>
      <c r="G254" s="292"/>
      <c r="H254" s="266">
        <f>VLOOKUP(Vlookup!$B213,'CDCM Volume Forecasts'!$A$28:$AL$136,H$143,FALSE)</f>
        <v>0.9497207172413793</v>
      </c>
      <c r="I254" s="7"/>
      <c r="J254"/>
      <c r="K254"/>
      <c r="L254"/>
    </row>
    <row r="255" spans="1:12" ht="15">
      <c r="A255" s="288" t="s">
        <v>1564</v>
      </c>
      <c r="B255" s="290"/>
      <c r="C255" s="290"/>
      <c r="D255" s="290"/>
      <c r="E255" s="290"/>
      <c r="F255" s="290"/>
      <c r="G255" s="290"/>
      <c r="H255" s="290"/>
      <c r="I255" s="7"/>
      <c r="J255"/>
      <c r="K255"/>
      <c r="L255"/>
    </row>
    <row r="256" spans="1:12" ht="15">
      <c r="A256" s="285" t="s">
        <v>1521</v>
      </c>
      <c r="B256" s="266">
        <f>VLOOKUP(Vlookup!$B215,'CDCM Volume Forecasts'!$A$28:$AL$136,B$143,FALSE)</f>
        <v>0</v>
      </c>
      <c r="C256" s="266">
        <f>VLOOKUP(Vlookup!$B215,'CDCM Volume Forecasts'!$A$28:$AL$136,C$143,FALSE)</f>
        <v>0</v>
      </c>
      <c r="D256" s="266">
        <f>VLOOKUP(Vlookup!$B215,'CDCM Volume Forecasts'!$A$28:$AL$136,D$143,FALSE)</f>
        <v>0</v>
      </c>
      <c r="E256" s="266">
        <f>VLOOKUP(Vlookup!$B215,'CDCM Volume Forecasts'!$A$28:$AL$136,E$143,FALSE)</f>
        <v>0</v>
      </c>
      <c r="F256" s="292"/>
      <c r="G256" s="292"/>
      <c r="H256" s="292"/>
      <c r="I256" s="7"/>
      <c r="J256"/>
      <c r="K256"/>
      <c r="L256"/>
    </row>
    <row r="257" spans="1:11" ht="15">
      <c r="A257"/>
      <c r="B257"/>
      <c r="C257"/>
      <c r="D257"/>
      <c r="E257"/>
      <c r="F257"/>
      <c r="G257"/>
      <c r="H257"/>
      <c r="I257"/>
      <c r="J257"/>
      <c r="K257"/>
    </row>
    <row r="258" spans="1:11" ht="19.5">
      <c r="A258" s="1" t="s">
        <v>169</v>
      </c>
      <c r="B258"/>
      <c r="C258"/>
      <c r="D258"/>
      <c r="E258"/>
      <c r="F258"/>
      <c r="G258"/>
      <c r="H258"/>
      <c r="I258"/>
      <c r="J258"/>
      <c r="K258"/>
    </row>
    <row r="259" spans="1:11" ht="15">
      <c r="A259" s="2" t="s">
        <v>224</v>
      </c>
      <c r="B259"/>
      <c r="C259"/>
      <c r="D259"/>
      <c r="E259"/>
      <c r="F259"/>
      <c r="G259"/>
      <c r="H259"/>
      <c r="I259"/>
      <c r="J259"/>
      <c r="K259"/>
    </row>
    <row r="260" spans="1:11" ht="15">
      <c r="A260" t="s">
        <v>99</v>
      </c>
      <c r="B260"/>
      <c r="C260"/>
      <c r="D260"/>
      <c r="E260"/>
      <c r="F260"/>
      <c r="G260"/>
      <c r="H260"/>
      <c r="I260"/>
      <c r="J260"/>
      <c r="K260"/>
    </row>
    <row r="261" spans="1:11" ht="30">
      <c r="A261"/>
      <c r="B261" s="3" t="s">
        <v>170</v>
      </c>
      <c r="C261"/>
      <c r="D261"/>
      <c r="E261"/>
      <c r="F261"/>
      <c r="G261"/>
      <c r="H261"/>
      <c r="I261"/>
      <c r="J261"/>
      <c r="K261"/>
    </row>
    <row r="262" spans="1:11" ht="15">
      <c r="A262" s="8" t="s">
        <v>171</v>
      </c>
      <c r="B262" s="10">
        <f>VLOOKUP(Vlookup!B221,'CDCM Forecast Data'!$A$14:$I$271,9,FALSE)</f>
        <v>10140946.883201897</v>
      </c>
      <c r="C262" s="7" t="s">
        <v>224</v>
      </c>
      <c r="D262"/>
      <c r="E262"/>
      <c r="F262"/>
      <c r="G262"/>
      <c r="H262"/>
      <c r="I262"/>
      <c r="J262"/>
      <c r="K262"/>
    </row>
    <row r="263" spans="1:11" ht="15">
      <c r="A263"/>
      <c r="B263"/>
      <c r="C263"/>
      <c r="D263"/>
      <c r="E263"/>
      <c r="F263"/>
      <c r="G263"/>
      <c r="H263"/>
      <c r="I263"/>
      <c r="J263"/>
      <c r="K263"/>
    </row>
    <row r="264" spans="1:11" ht="19.5">
      <c r="A264" s="1" t="s">
        <v>172</v>
      </c>
      <c r="B264"/>
      <c r="C264"/>
      <c r="D264"/>
      <c r="E264"/>
      <c r="F264"/>
      <c r="G264"/>
      <c r="H264"/>
      <c r="I264"/>
      <c r="J264"/>
      <c r="K264"/>
    </row>
    <row r="265" spans="1:11" ht="15">
      <c r="A265" t="s">
        <v>224</v>
      </c>
      <c r="B265"/>
      <c r="C265"/>
      <c r="D265"/>
      <c r="E265"/>
      <c r="F265"/>
      <c r="G265"/>
      <c r="H265"/>
      <c r="I265"/>
      <c r="J265"/>
      <c r="K265"/>
    </row>
    <row r="266" spans="1:11" ht="30">
      <c r="A266"/>
      <c r="B266" s="3" t="s">
        <v>173</v>
      </c>
      <c r="C266" s="3" t="s">
        <v>174</v>
      </c>
      <c r="D266" s="3" t="s">
        <v>175</v>
      </c>
      <c r="E266" s="3" t="s">
        <v>176</v>
      </c>
      <c r="F266"/>
      <c r="G266"/>
      <c r="H266"/>
      <c r="I266"/>
      <c r="J266"/>
      <c r="K266"/>
    </row>
    <row r="267" spans="1:11" ht="15">
      <c r="A267" s="8" t="s">
        <v>177</v>
      </c>
      <c r="B267" s="10">
        <f>VLOOKUP(Vlookup!B226,'CDCM Forecast Data'!$A$14:$I$271,9,FALSE)</f>
        <v>38037763.900259838</v>
      </c>
      <c r="C267" s="10">
        <f>VLOOKUP(Vlookup!C226,'CDCM Forecast Data'!$A$14:$I$271,9,FALSE)</f>
        <v>113753824.54936889</v>
      </c>
      <c r="D267" s="11">
        <f>VLOOKUP(Vlookup!D226,'CDCM Forecast Data'!$A$14:$I$271,9,FALSE)</f>
        <v>0.6</v>
      </c>
      <c r="E267" s="10">
        <f>VLOOKUP(Vlookup!E226,'CDCM Forecast Data'!$A$14:$I$271,9,FALSE)</f>
        <v>21802510.59382423</v>
      </c>
      <c r="F267" s="7" t="s">
        <v>224</v>
      </c>
      <c r="G267"/>
      <c r="H267"/>
      <c r="I267"/>
      <c r="J267"/>
      <c r="K267"/>
    </row>
    <row r="268" spans="1:11" ht="15">
      <c r="A268"/>
      <c r="B268"/>
      <c r="C268"/>
      <c r="D268"/>
      <c r="E268"/>
      <c r="F268"/>
      <c r="G268"/>
      <c r="H268"/>
      <c r="I268"/>
      <c r="J268"/>
      <c r="K268"/>
    </row>
    <row r="269" spans="1:11" ht="19.5">
      <c r="A269" s="1" t="s">
        <v>178</v>
      </c>
      <c r="B269"/>
      <c r="C269"/>
      <c r="D269"/>
      <c r="E269"/>
      <c r="F269"/>
      <c r="G269"/>
      <c r="H269"/>
      <c r="I269"/>
      <c r="J269"/>
      <c r="K269"/>
    </row>
    <row r="270" spans="1:11" ht="15">
      <c r="A270" s="2"/>
      <c r="B270"/>
      <c r="C270"/>
      <c r="D270"/>
      <c r="E270"/>
      <c r="F270"/>
      <c r="G270"/>
      <c r="H270"/>
      <c r="I270"/>
      <c r="J270"/>
      <c r="K270"/>
    </row>
    <row r="271" spans="1:11" ht="15">
      <c r="A271" s="2" t="s">
        <v>179</v>
      </c>
      <c r="B271"/>
      <c r="C271"/>
      <c r="D271"/>
      <c r="E271"/>
      <c r="F271"/>
      <c r="G271"/>
      <c r="H271"/>
      <c r="I271"/>
      <c r="J271"/>
      <c r="K271"/>
    </row>
    <row r="272" spans="1:11" ht="15">
      <c r="A272" s="2" t="s">
        <v>180</v>
      </c>
      <c r="B272"/>
      <c r="C272"/>
      <c r="D272"/>
      <c r="E272"/>
      <c r="F272"/>
      <c r="G272"/>
      <c r="H272"/>
      <c r="I272"/>
      <c r="J272"/>
      <c r="K272"/>
    </row>
    <row r="273" spans="1:11" ht="15">
      <c r="A273" t="s">
        <v>181</v>
      </c>
      <c r="B273"/>
      <c r="C273"/>
      <c r="D273"/>
      <c r="E273"/>
      <c r="F273"/>
      <c r="G273"/>
      <c r="H273"/>
      <c r="I273"/>
      <c r="J273"/>
      <c r="K273"/>
    </row>
    <row r="274" spans="1:11" ht="30">
      <c r="A274"/>
      <c r="B274" s="3" t="s">
        <v>182</v>
      </c>
      <c r="C274" s="3" t="s">
        <v>183</v>
      </c>
      <c r="D274" s="3" t="s">
        <v>184</v>
      </c>
      <c r="E274" s="3" t="s">
        <v>185</v>
      </c>
      <c r="F274" s="3" t="s">
        <v>186</v>
      </c>
      <c r="G274" s="3" t="s">
        <v>187</v>
      </c>
      <c r="H274" s="3" t="s">
        <v>188</v>
      </c>
      <c r="I274" s="3" t="s">
        <v>189</v>
      </c>
      <c r="J274"/>
      <c r="K274"/>
    </row>
    <row r="275" spans="1:11" ht="15">
      <c r="A275" s="8" t="s">
        <v>190</v>
      </c>
      <c r="B275" s="11">
        <f>VLOOKUP(Vlookup!B234,'CDCM Forecast Data'!$A$14:$I$271,9,FALSE)</f>
        <v>0</v>
      </c>
      <c r="C275" s="11">
        <f>VLOOKUP(Vlookup!C234,'CDCM Forecast Data'!$A$14:$I$271,9,FALSE)</f>
        <v>0</v>
      </c>
      <c r="D275" s="11">
        <f>VLOOKUP(Vlookup!D234,'CDCM Forecast Data'!$A$14:$I$271,9,FALSE)</f>
        <v>0</v>
      </c>
      <c r="E275" s="11">
        <f>VLOOKUP(Vlookup!E234,'CDCM Forecast Data'!$A$14:$I$271,9,FALSE)</f>
        <v>0.81</v>
      </c>
      <c r="F275" s="11">
        <f>VLOOKUP(Vlookup!F234,'CDCM Forecast Data'!$A$14:$I$271,9,FALSE)</f>
        <v>0</v>
      </c>
      <c r="G275" s="11">
        <f>VLOOKUP(Vlookup!G234,'CDCM Forecast Data'!$A$14:$I$271,9,FALSE)</f>
        <v>0.81</v>
      </c>
      <c r="H275" s="11">
        <f>VLOOKUP(Vlookup!H234,'CDCM Forecast Data'!$A$14:$I$271,9,FALSE)</f>
        <v>0.95</v>
      </c>
      <c r="I275" s="11">
        <f>VLOOKUP(Vlookup!I234,'CDCM Forecast Data'!$A$14:$I$271,9,FALSE)</f>
        <v>0.95</v>
      </c>
      <c r="J275" s="7" t="s">
        <v>224</v>
      </c>
      <c r="K275"/>
    </row>
    <row r="276" spans="1:11" ht="15">
      <c r="A276" s="8" t="s">
        <v>191</v>
      </c>
      <c r="B276" s="11">
        <f>VLOOKUP(Vlookup!B235,'CDCM Forecast Data'!$A$14:$I$271,9,FALSE)</f>
        <v>0</v>
      </c>
      <c r="C276" s="11">
        <f>VLOOKUP(Vlookup!C235,'CDCM Forecast Data'!$A$14:$I$271,9,FALSE)</f>
        <v>0</v>
      </c>
      <c r="D276" s="11">
        <f>VLOOKUP(Vlookup!D235,'CDCM Forecast Data'!$A$14:$I$271,9,FALSE)</f>
        <v>0</v>
      </c>
      <c r="E276" s="11">
        <f>VLOOKUP(Vlookup!E235,'CDCM Forecast Data'!$A$14:$I$271,9,FALSE)</f>
        <v>0.81</v>
      </c>
      <c r="F276" s="11">
        <f>VLOOKUP(Vlookup!F235,'CDCM Forecast Data'!$A$14:$I$271,9,FALSE)</f>
        <v>0</v>
      </c>
      <c r="G276" s="11">
        <f>VLOOKUP(Vlookup!G235,'CDCM Forecast Data'!$A$14:$I$271,9,FALSE)</f>
        <v>0.81</v>
      </c>
      <c r="H276" s="11">
        <f>VLOOKUP(Vlookup!H235,'CDCM Forecast Data'!$A$14:$I$271,9,FALSE)</f>
        <v>0.95</v>
      </c>
      <c r="I276" s="6"/>
      <c r="J276" s="7" t="s">
        <v>224</v>
      </c>
      <c r="K276"/>
    </row>
    <row r="277" spans="1:11" ht="15">
      <c r="A277" s="8" t="s">
        <v>192</v>
      </c>
      <c r="B277" s="11">
        <f>VLOOKUP(Vlookup!B236,'CDCM Forecast Data'!$A$14:$I$271,9,FALSE)</f>
        <v>0</v>
      </c>
      <c r="C277" s="11">
        <f>VLOOKUP(Vlookup!C236,'CDCM Forecast Data'!$A$14:$I$271,9,FALSE)</f>
        <v>0.67</v>
      </c>
      <c r="D277" s="11">
        <f>VLOOKUP(Vlookup!D236,'CDCM Forecast Data'!$A$14:$I$271,9,FALSE)</f>
        <v>0.67</v>
      </c>
      <c r="E277" s="11">
        <f>VLOOKUP(Vlookup!E236,'CDCM Forecast Data'!$A$14:$I$271,9,FALSE)</f>
        <v>1</v>
      </c>
      <c r="F277" s="11">
        <f>VLOOKUP(Vlookup!F236,'CDCM Forecast Data'!$A$14:$I$271,9,FALSE)</f>
        <v>0</v>
      </c>
      <c r="G277" s="11">
        <f>VLOOKUP(Vlookup!G236,'CDCM Forecast Data'!$A$14:$I$271,9,FALSE)</f>
        <v>1</v>
      </c>
      <c r="H277" s="6"/>
      <c r="I277" s="6"/>
      <c r="J277" s="7" t="s">
        <v>224</v>
      </c>
      <c r="K277"/>
    </row>
    <row r="278" spans="1:11" ht="15">
      <c r="A278" s="8" t="s">
        <v>193</v>
      </c>
      <c r="B278" s="11">
        <f>VLOOKUP(Vlookup!B237,'CDCM Forecast Data'!$A$14:$I$271,9,FALSE)</f>
        <v>0</v>
      </c>
      <c r="C278" s="11">
        <f>VLOOKUP(Vlookup!C237,'CDCM Forecast Data'!$A$14:$I$271,9,FALSE)</f>
        <v>0.67</v>
      </c>
      <c r="D278" s="11">
        <f>VLOOKUP(Vlookup!D237,'CDCM Forecast Data'!$A$14:$I$271,9,FALSE)</f>
        <v>0.67</v>
      </c>
      <c r="E278" s="11">
        <f>VLOOKUP(Vlookup!E237,'CDCM Forecast Data'!$A$14:$I$271,9,FALSE)</f>
        <v>1</v>
      </c>
      <c r="F278" s="6"/>
      <c r="G278" s="6"/>
      <c r="H278" s="6"/>
      <c r="I278" s="6"/>
      <c r="J278" s="7" t="s">
        <v>224</v>
      </c>
      <c r="K278"/>
    </row>
    <row r="279" spans="1:11" ht="15">
      <c r="A279"/>
      <c r="B279"/>
      <c r="C279"/>
      <c r="D279"/>
      <c r="E279"/>
      <c r="F279"/>
      <c r="G279"/>
      <c r="H279"/>
      <c r="I279"/>
      <c r="J279"/>
      <c r="K279"/>
    </row>
    <row r="280" spans="1:11" ht="19.5">
      <c r="A280" s="1" t="s">
        <v>194</v>
      </c>
      <c r="B280"/>
      <c r="C280"/>
      <c r="D280"/>
      <c r="E280"/>
      <c r="F280"/>
      <c r="G280"/>
      <c r="H280"/>
      <c r="I280"/>
      <c r="J280"/>
      <c r="K280"/>
    </row>
    <row r="281" spans="1:11" ht="15">
      <c r="A281"/>
      <c r="B281"/>
      <c r="C281"/>
      <c r="D281"/>
      <c r="E281"/>
      <c r="F281"/>
      <c r="G281"/>
      <c r="H281"/>
      <c r="I281"/>
      <c r="J281"/>
      <c r="K281"/>
    </row>
    <row r="282" spans="1:11" ht="15">
      <c r="A282"/>
      <c r="B282" s="3" t="s">
        <v>195</v>
      </c>
      <c r="C282" s="3" t="s">
        <v>196</v>
      </c>
      <c r="D282" s="3" t="s">
        <v>197</v>
      </c>
      <c r="E282"/>
      <c r="F282"/>
      <c r="G282"/>
      <c r="H282"/>
      <c r="I282"/>
      <c r="J282"/>
      <c r="K282"/>
    </row>
    <row r="283" spans="1:11" ht="15">
      <c r="A283" s="8" t="s">
        <v>54</v>
      </c>
      <c r="B283" s="11">
        <f>VLOOKUP(Vlookup!B247,'CDCM Forecast Data'!$A$14:$I$271,9,FALSE)</f>
        <v>8.8740200313094042E-2</v>
      </c>
      <c r="C283" s="11">
        <f>VLOOKUP(Vlookup!C247,'CDCM Forecast Data'!$A$14:$I$271,9,FALSE)</f>
        <v>0.46239559627820986</v>
      </c>
      <c r="D283" s="11">
        <f>VLOOKUP(Vlookup!D247,'CDCM Forecast Data'!$A$14:$I$271,9,FALSE)</f>
        <v>0.44886420340869609</v>
      </c>
      <c r="E283" s="7" t="s">
        <v>224</v>
      </c>
      <c r="F283"/>
      <c r="G283"/>
      <c r="H283"/>
      <c r="I283"/>
      <c r="J283"/>
      <c r="K283"/>
    </row>
    <row r="284" spans="1:11" ht="15">
      <c r="A284" s="8" t="s">
        <v>55</v>
      </c>
      <c r="B284" s="11">
        <f>VLOOKUP(Vlookup!B248,'CDCM Forecast Data'!$A$14:$I$271,9,FALSE)</f>
        <v>0.10751585240751205</v>
      </c>
      <c r="C284" s="11">
        <f>VLOOKUP(Vlookup!C248,'CDCM Forecast Data'!$A$14:$I$271,9,FALSE)</f>
        <v>0.53928993725192576</v>
      </c>
      <c r="D284" s="11">
        <f>VLOOKUP(Vlookup!D248,'CDCM Forecast Data'!$A$14:$I$271,9,FALSE)</f>
        <v>0.35319421034056231</v>
      </c>
      <c r="E284" s="7" t="s">
        <v>224</v>
      </c>
      <c r="F284"/>
      <c r="G284"/>
      <c r="H284"/>
      <c r="I284"/>
      <c r="J284"/>
      <c r="K284"/>
    </row>
    <row r="285" spans="1:11" ht="15">
      <c r="A285" s="8" t="s">
        <v>91</v>
      </c>
      <c r="B285" s="11">
        <f>VLOOKUP(Vlookup!B249,'CDCM Forecast Data'!$A$14:$I$271,9,FALSE)</f>
        <v>1.3467452839655742E-3</v>
      </c>
      <c r="C285" s="11">
        <f>VLOOKUP(Vlookup!C249,'CDCM Forecast Data'!$A$14:$I$271,9,FALSE)</f>
        <v>0.10870547020102579</v>
      </c>
      <c r="D285" s="11">
        <f>VLOOKUP(Vlookup!D249,'CDCM Forecast Data'!$A$14:$I$271,9,FALSE)</f>
        <v>0.88994778451500867</v>
      </c>
      <c r="E285" s="7"/>
      <c r="F285"/>
      <c r="G285"/>
      <c r="H285"/>
      <c r="I285"/>
      <c r="J285"/>
      <c r="K285"/>
    </row>
    <row r="286" spans="1:11" ht="15">
      <c r="A286" s="8" t="s">
        <v>56</v>
      </c>
      <c r="B286" s="11">
        <f>VLOOKUP(Vlookup!B250,'CDCM Forecast Data'!$A$14:$I$271,9,FALSE)</f>
        <v>6.26200465507879E-2</v>
      </c>
      <c r="C286" s="11">
        <f>VLOOKUP(Vlookup!C250,'CDCM Forecast Data'!$A$14:$I$271,9,FALSE)</f>
        <v>0.56596294840089356</v>
      </c>
      <c r="D286" s="11">
        <f>VLOOKUP(Vlookup!D250,'CDCM Forecast Data'!$A$14:$I$271,9,FALSE)</f>
        <v>0.37141700504831854</v>
      </c>
      <c r="E286" s="7"/>
      <c r="F286"/>
      <c r="G286"/>
      <c r="H286"/>
      <c r="I286"/>
      <c r="J286"/>
      <c r="K286"/>
    </row>
    <row r="287" spans="1:11" ht="15">
      <c r="A287" s="8" t="s">
        <v>57</v>
      </c>
      <c r="B287" s="11">
        <f>VLOOKUP(Vlookup!B251,'CDCM Forecast Data'!$A$14:$I$271,9,FALSE)</f>
        <v>8.1156541207900612E-2</v>
      </c>
      <c r="C287" s="11">
        <f>VLOOKUP(Vlookup!C251,'CDCM Forecast Data'!$A$14:$I$271,9,FALSE)</f>
        <v>0.63066077743340532</v>
      </c>
      <c r="D287" s="11">
        <f>VLOOKUP(Vlookup!D251,'CDCM Forecast Data'!$A$14:$I$271,9,FALSE)</f>
        <v>0.28818268135869413</v>
      </c>
      <c r="E287" s="7" t="s">
        <v>224</v>
      </c>
      <c r="F287"/>
      <c r="G287"/>
      <c r="H287"/>
      <c r="I287"/>
      <c r="J287"/>
      <c r="K287"/>
    </row>
    <row r="288" spans="1:11" ht="15">
      <c r="A288" s="8" t="s">
        <v>92</v>
      </c>
      <c r="B288" s="11">
        <f>VLOOKUP(Vlookup!B252,'CDCM Forecast Data'!$A$14:$I$271,9,FALSE)</f>
        <v>2.1108855935806684E-3</v>
      </c>
      <c r="C288" s="11">
        <f>VLOOKUP(Vlookup!C252,'CDCM Forecast Data'!$A$14:$I$271,9,FALSE)</f>
        <v>0.11802654892647897</v>
      </c>
      <c r="D288" s="11">
        <f>VLOOKUP(Vlookup!D252,'CDCM Forecast Data'!$A$14:$I$271,9,FALSE)</f>
        <v>0.87986256547994035</v>
      </c>
      <c r="E288" s="7" t="s">
        <v>224</v>
      </c>
      <c r="F288"/>
      <c r="G288"/>
      <c r="H288"/>
      <c r="I288"/>
      <c r="J288"/>
      <c r="K288"/>
    </row>
    <row r="289" spans="1:11" ht="15">
      <c r="A289" s="8" t="s">
        <v>58</v>
      </c>
      <c r="B289" s="11">
        <f>VLOOKUP(Vlookup!B253,'CDCM Forecast Data'!$A$14:$I$271,9,FALSE)</f>
        <v>8.2970247934956221E-2</v>
      </c>
      <c r="C289" s="11">
        <f>VLOOKUP(Vlookup!C253,'CDCM Forecast Data'!$A$14:$I$271,9,FALSE)</f>
        <v>0.62036110080486229</v>
      </c>
      <c r="D289" s="11">
        <f>VLOOKUP(Vlookup!D253,'CDCM Forecast Data'!$A$14:$I$271,9,FALSE)</f>
        <v>0.29666865126018144</v>
      </c>
      <c r="E289" s="7" t="s">
        <v>224</v>
      </c>
      <c r="F289"/>
      <c r="G289"/>
      <c r="H289"/>
      <c r="I289"/>
      <c r="J289"/>
      <c r="K289"/>
    </row>
    <row r="290" spans="1:11" ht="15">
      <c r="A290" s="8" t="s">
        <v>59</v>
      </c>
      <c r="B290" s="11">
        <f>VLOOKUP(Vlookup!B254,'CDCM Forecast Data'!$A$14:$I$271,9,FALSE)</f>
        <v>8.1888603416870973E-2</v>
      </c>
      <c r="C290" s="11">
        <f>VLOOKUP(Vlookup!C254,'CDCM Forecast Data'!$A$14:$I$271,9,FALSE)</f>
        <v>0.61855839995261419</v>
      </c>
      <c r="D290" s="11">
        <f>VLOOKUP(Vlookup!D254,'CDCM Forecast Data'!$A$14:$I$271,9,FALSE)</f>
        <v>0.29955299663051482</v>
      </c>
      <c r="E290" s="7" t="s">
        <v>224</v>
      </c>
      <c r="F290"/>
      <c r="G290"/>
      <c r="H290"/>
      <c r="I290"/>
      <c r="J290"/>
      <c r="K290"/>
    </row>
    <row r="291" spans="1:11" ht="15">
      <c r="A291" s="8" t="s">
        <v>72</v>
      </c>
      <c r="B291" s="11">
        <f>VLOOKUP(Vlookup!B255,'CDCM Forecast Data'!$A$14:$I$271,9,FALSE)</f>
        <v>8.215022324053349E-2</v>
      </c>
      <c r="C291" s="11">
        <f>VLOOKUP(Vlookup!C255,'CDCM Forecast Data'!$A$14:$I$271,9,FALSE)</f>
        <v>0.63955866566854391</v>
      </c>
      <c r="D291" s="11">
        <f>VLOOKUP(Vlookup!D255,'CDCM Forecast Data'!$A$14:$I$271,9,FALSE)</f>
        <v>0.27829111109092258</v>
      </c>
      <c r="E291" s="7" t="s">
        <v>224</v>
      </c>
      <c r="F291"/>
      <c r="G291"/>
      <c r="H291"/>
      <c r="I291"/>
      <c r="J291"/>
      <c r="K291"/>
    </row>
    <row r="292" spans="1:11" ht="15">
      <c r="A292"/>
      <c r="B292"/>
      <c r="C292"/>
      <c r="D292"/>
      <c r="E292"/>
      <c r="F292"/>
      <c r="G292"/>
      <c r="H292"/>
      <c r="I292"/>
      <c r="J292"/>
      <c r="K292"/>
    </row>
    <row r="293" spans="1:11" ht="19.5">
      <c r="A293" s="1" t="s">
        <v>198</v>
      </c>
      <c r="B293"/>
      <c r="C293"/>
      <c r="D293"/>
      <c r="E293"/>
      <c r="F293"/>
      <c r="G293"/>
      <c r="H293"/>
      <c r="I293"/>
      <c r="J293"/>
      <c r="K293"/>
    </row>
    <row r="294" spans="1:11" ht="15">
      <c r="A294"/>
      <c r="B294"/>
      <c r="C294"/>
      <c r="D294"/>
      <c r="E294"/>
      <c r="F294"/>
      <c r="G294"/>
      <c r="H294"/>
      <c r="I294"/>
      <c r="J294"/>
      <c r="K294"/>
    </row>
    <row r="295" spans="1:11" ht="15">
      <c r="A295"/>
      <c r="B295" s="3" t="s">
        <v>195</v>
      </c>
      <c r="C295" s="3" t="s">
        <v>196</v>
      </c>
      <c r="D295" s="3" t="s">
        <v>197</v>
      </c>
      <c r="E295"/>
      <c r="F295"/>
      <c r="G295"/>
      <c r="H295"/>
      <c r="I295"/>
      <c r="J295"/>
      <c r="K295"/>
    </row>
    <row r="296" spans="1:11" ht="15">
      <c r="A296" s="8" t="s">
        <v>55</v>
      </c>
      <c r="B296" s="11">
        <f>VLOOKUP(Vlookup!B263,'CDCM Forecast Data'!$A$14:$I$271,9,FALSE)</f>
        <v>0</v>
      </c>
      <c r="C296" s="11">
        <f>VLOOKUP(Vlookup!C263,'CDCM Forecast Data'!$A$14:$I$271,9,FALSE)</f>
        <v>2.0980929821621391E-2</v>
      </c>
      <c r="D296" s="11">
        <f>VLOOKUP(Vlookup!D263,'CDCM Forecast Data'!$A$14:$I$271,9,FALSE)</f>
        <v>0.97901907017837864</v>
      </c>
      <c r="E296" s="7" t="s">
        <v>224</v>
      </c>
      <c r="F296"/>
      <c r="G296"/>
      <c r="H296"/>
      <c r="I296"/>
      <c r="J296"/>
      <c r="K296"/>
    </row>
    <row r="297" spans="1:11" ht="15">
      <c r="A297" s="8" t="s">
        <v>57</v>
      </c>
      <c r="B297" s="11">
        <f>VLOOKUP(Vlookup!B264,'CDCM Forecast Data'!$A$14:$I$271,9,FALSE)</f>
        <v>0</v>
      </c>
      <c r="C297" s="11">
        <f>VLOOKUP(Vlookup!C264,'CDCM Forecast Data'!$A$14:$I$271,9,FALSE)</f>
        <v>2.6444594802158033E-2</v>
      </c>
      <c r="D297" s="11">
        <f>VLOOKUP(Vlookup!D264,'CDCM Forecast Data'!$A$14:$I$271,9,FALSE)</f>
        <v>0.97355540519784201</v>
      </c>
      <c r="E297" s="7" t="s">
        <v>224</v>
      </c>
      <c r="F297"/>
      <c r="G297"/>
      <c r="H297"/>
      <c r="I297"/>
      <c r="J297"/>
      <c r="K297"/>
    </row>
    <row r="298" spans="1:11" ht="15">
      <c r="A298" s="8" t="s">
        <v>58</v>
      </c>
      <c r="B298" s="11">
        <f>VLOOKUP(Vlookup!B265,'CDCM Forecast Data'!$A$14:$I$271,9,FALSE)</f>
        <v>0</v>
      </c>
      <c r="C298" s="11">
        <f>VLOOKUP(Vlookup!C265,'CDCM Forecast Data'!$A$14:$I$271,9,FALSE)</f>
        <v>0</v>
      </c>
      <c r="D298" s="11">
        <f>VLOOKUP(Vlookup!D265,'CDCM Forecast Data'!$A$14:$I$271,9,FALSE)</f>
        <v>1</v>
      </c>
      <c r="E298" s="7" t="s">
        <v>224</v>
      </c>
      <c r="F298"/>
      <c r="G298"/>
      <c r="H298"/>
      <c r="I298"/>
      <c r="J298"/>
      <c r="K298"/>
    </row>
    <row r="299" spans="1:11" ht="15">
      <c r="A299" s="8" t="s">
        <v>59</v>
      </c>
      <c r="B299" s="11">
        <f>VLOOKUP(Vlookup!B266,'CDCM Forecast Data'!$A$14:$I$271,9,FALSE)</f>
        <v>0</v>
      </c>
      <c r="C299" s="11">
        <f>VLOOKUP(Vlookup!C266,'CDCM Forecast Data'!$A$14:$I$271,9,FALSE)</f>
        <v>0</v>
      </c>
      <c r="D299" s="11">
        <f>VLOOKUP(Vlookup!D266,'CDCM Forecast Data'!$A$14:$I$271,9,FALSE)</f>
        <v>1</v>
      </c>
      <c r="E299" s="7" t="s">
        <v>224</v>
      </c>
      <c r="F299"/>
      <c r="G299"/>
      <c r="H299"/>
      <c r="I299"/>
      <c r="J299"/>
      <c r="K299"/>
    </row>
    <row r="300" spans="1:11" ht="15">
      <c r="A300" s="8" t="s">
        <v>72</v>
      </c>
      <c r="B300" s="11">
        <f>VLOOKUP(Vlookup!B267,'CDCM Forecast Data'!$A$14:$I$271,9,FALSE)</f>
        <v>0</v>
      </c>
      <c r="C300" s="11">
        <f>VLOOKUP(Vlookup!C267,'CDCM Forecast Data'!$A$14:$I$271,9,FALSE)</f>
        <v>0</v>
      </c>
      <c r="D300" s="11">
        <f>VLOOKUP(Vlookup!D267,'CDCM Forecast Data'!$A$14:$I$271,9,FALSE)</f>
        <v>1</v>
      </c>
      <c r="E300" s="7" t="s">
        <v>224</v>
      </c>
      <c r="F300"/>
      <c r="G300"/>
      <c r="H300"/>
      <c r="I300"/>
      <c r="J300"/>
      <c r="K300"/>
    </row>
    <row r="301" spans="1:11" ht="15">
      <c r="A301"/>
      <c r="B301"/>
      <c r="C301"/>
      <c r="D301"/>
      <c r="E301"/>
      <c r="F301"/>
      <c r="G301"/>
      <c r="H301"/>
      <c r="I301"/>
      <c r="J301"/>
      <c r="K301"/>
    </row>
    <row r="302" spans="1:11" ht="19.5">
      <c r="A302" s="1" t="s">
        <v>199</v>
      </c>
      <c r="B302"/>
      <c r="C302"/>
      <c r="D302"/>
      <c r="E302"/>
      <c r="F302"/>
      <c r="G302"/>
      <c r="H302"/>
      <c r="I302"/>
      <c r="J302"/>
      <c r="K302"/>
    </row>
    <row r="303" spans="1:11" ht="15">
      <c r="A303"/>
      <c r="B303"/>
      <c r="C303"/>
      <c r="D303"/>
      <c r="E303"/>
      <c r="F303"/>
      <c r="G303"/>
      <c r="H303"/>
      <c r="I303"/>
      <c r="J303"/>
      <c r="K303"/>
    </row>
    <row r="304" spans="1:11" ht="15">
      <c r="A304"/>
      <c r="B304" s="3" t="s">
        <v>200</v>
      </c>
      <c r="C304" s="3" t="s">
        <v>201</v>
      </c>
      <c r="D304" s="3" t="s">
        <v>197</v>
      </c>
      <c r="E304" t="s">
        <v>224</v>
      </c>
      <c r="F304"/>
      <c r="G304"/>
      <c r="H304"/>
      <c r="I304"/>
      <c r="J304"/>
      <c r="K304"/>
    </row>
    <row r="305" spans="1:11" ht="15">
      <c r="A305" s="8" t="s">
        <v>93</v>
      </c>
      <c r="B305" s="11">
        <f>VLOOKUP(Vlookup!B272,'CDCM Forecast Data'!$A$14:$I$271,9,FALSE)</f>
        <v>1.7335795260789644E-2</v>
      </c>
      <c r="C305" s="11">
        <f>VLOOKUP(Vlookup!C272,'CDCM Forecast Data'!$A$14:$I$271,9,FALSE)</f>
        <v>0.4355228684781795</v>
      </c>
      <c r="D305" s="11">
        <f>VLOOKUP(Vlookup!D272,'CDCM Forecast Data'!$A$14:$I$271,9,FALSE)</f>
        <v>0.54714133626103079</v>
      </c>
      <c r="E305" s="7" t="s">
        <v>224</v>
      </c>
      <c r="F305"/>
      <c r="G305"/>
      <c r="H305"/>
      <c r="I305"/>
      <c r="J305"/>
      <c r="K305"/>
    </row>
    <row r="306" spans="1:11" ht="15">
      <c r="A306" s="8" t="s">
        <v>94</v>
      </c>
      <c r="B306" s="11">
        <f>VLOOKUP(Vlookup!B273,'CDCM Forecast Data'!$A$14:$I$271,9,FALSE)</f>
        <v>3.2847302717098244E-2</v>
      </c>
      <c r="C306" s="11">
        <f>VLOOKUP(Vlookup!C273,'CDCM Forecast Data'!$A$14:$I$271,9,FALSE)</f>
        <v>0.1517630105786926</v>
      </c>
      <c r="D306" s="11">
        <f>VLOOKUP(Vlookup!D273,'CDCM Forecast Data'!$A$14:$I$271,9,FALSE)</f>
        <v>0.81538968670420919</v>
      </c>
      <c r="E306" s="7" t="s">
        <v>224</v>
      </c>
      <c r="F306"/>
      <c r="G306"/>
      <c r="H306"/>
      <c r="I306"/>
      <c r="J306"/>
      <c r="K306"/>
    </row>
    <row r="307" spans="1:11" ht="15">
      <c r="A307" s="8" t="s">
        <v>95</v>
      </c>
      <c r="B307" s="11">
        <f>VLOOKUP(Vlookup!B274,'CDCM Forecast Data'!$A$14:$I$271,9,FALSE)</f>
        <v>5.9273595790326206E-2</v>
      </c>
      <c r="C307" s="11">
        <f>VLOOKUP(Vlookup!C274,'CDCM Forecast Data'!$A$14:$I$271,9,FALSE)</f>
        <v>0.24811484564374295</v>
      </c>
      <c r="D307" s="11">
        <f>VLOOKUP(Vlookup!D274,'CDCM Forecast Data'!$A$14:$I$271,9,FALSE)</f>
        <v>0.69261155856593071</v>
      </c>
      <c r="E307" s="7" t="s">
        <v>224</v>
      </c>
      <c r="F307"/>
      <c r="G307"/>
      <c r="H307"/>
      <c r="I307"/>
      <c r="J307"/>
      <c r="K307"/>
    </row>
    <row r="308" spans="1:11" ht="15">
      <c r="A308" s="8" t="s">
        <v>96</v>
      </c>
      <c r="B308" s="11">
        <f>VLOOKUP(Vlookup!B275,'CDCM Forecast Data'!$A$14:$I$271,9,FALSE)</f>
        <v>2.4492897224272499E-3</v>
      </c>
      <c r="C308" s="11">
        <f>VLOOKUP(Vlookup!C275,'CDCM Forecast Data'!$A$14:$I$271,9,FALSE)</f>
        <v>0.69957381670812457</v>
      </c>
      <c r="D308" s="11">
        <f>VLOOKUP(Vlookup!D275,'CDCM Forecast Data'!$A$14:$I$271,9,FALSE)</f>
        <v>0.29797689356944818</v>
      </c>
      <c r="E308" s="7" t="s">
        <v>224</v>
      </c>
      <c r="F308"/>
      <c r="G308"/>
      <c r="H308"/>
      <c r="I308"/>
      <c r="J308"/>
      <c r="K308"/>
    </row>
    <row r="309" spans="1:11" ht="15">
      <c r="A309"/>
      <c r="B309"/>
      <c r="C309"/>
      <c r="D309"/>
      <c r="E309"/>
      <c r="F309"/>
      <c r="G309"/>
      <c r="H309"/>
      <c r="I309"/>
      <c r="J309"/>
      <c r="K309"/>
    </row>
    <row r="310" spans="1:11" ht="19.5">
      <c r="A310" s="1" t="s">
        <v>202</v>
      </c>
      <c r="B310"/>
      <c r="C310"/>
      <c r="D310"/>
      <c r="E310"/>
      <c r="F310"/>
      <c r="G310"/>
      <c r="H310"/>
      <c r="I310"/>
      <c r="J310"/>
      <c r="K310"/>
    </row>
    <row r="311" spans="1:11" ht="15">
      <c r="A311" s="2" t="s">
        <v>203</v>
      </c>
      <c r="B311"/>
      <c r="C311"/>
      <c r="D311"/>
      <c r="E311"/>
      <c r="F311"/>
      <c r="G311"/>
      <c r="H311"/>
      <c r="I311"/>
      <c r="J311"/>
      <c r="K311"/>
    </row>
    <row r="312" spans="1:11" ht="15">
      <c r="A312" s="2" t="s">
        <v>204</v>
      </c>
      <c r="B312"/>
      <c r="C312"/>
      <c r="D312"/>
      <c r="E312"/>
      <c r="F312"/>
      <c r="G312"/>
      <c r="H312"/>
      <c r="I312"/>
      <c r="J312"/>
      <c r="K312"/>
    </row>
    <row r="313" spans="1:11" ht="15">
      <c r="A313"/>
      <c r="B313"/>
      <c r="C313"/>
      <c r="D313"/>
      <c r="E313"/>
      <c r="F313"/>
      <c r="G313"/>
      <c r="H313"/>
      <c r="I313"/>
      <c r="J313"/>
      <c r="K313"/>
    </row>
    <row r="314" spans="1:11" ht="15">
      <c r="A314"/>
      <c r="B314" s="3" t="s">
        <v>200</v>
      </c>
      <c r="C314" s="3" t="s">
        <v>201</v>
      </c>
      <c r="D314" s="3" t="s">
        <v>197</v>
      </c>
      <c r="E314"/>
      <c r="F314"/>
      <c r="G314"/>
      <c r="H314"/>
      <c r="I314"/>
      <c r="J314"/>
      <c r="K314"/>
    </row>
    <row r="315" spans="1:11" ht="15">
      <c r="A315" s="8" t="s">
        <v>205</v>
      </c>
      <c r="B315" s="14">
        <f>VLOOKUP(Vlookup!B282,'CDCM Forecast Data'!$A$14:$I$271,9,FALSE)</f>
        <v>152</v>
      </c>
      <c r="C315" s="14">
        <f>VLOOKUP(Vlookup!C282,'CDCM Forecast Data'!$A$14:$I$271,9,FALSE)</f>
        <v>3814</v>
      </c>
      <c r="D315" s="14">
        <f>VLOOKUP(Vlookup!D282,'CDCM Forecast Data'!$A$14:$I$271,9,FALSE)</f>
        <v>4794</v>
      </c>
      <c r="E315" s="7" t="s">
        <v>224</v>
      </c>
      <c r="F315"/>
      <c r="G315"/>
      <c r="H315"/>
      <c r="I315"/>
      <c r="J315"/>
      <c r="K315"/>
    </row>
    <row r="316" spans="1:11" ht="15">
      <c r="A316"/>
      <c r="B316"/>
      <c r="C316"/>
      <c r="D316"/>
      <c r="E316"/>
      <c r="F316"/>
      <c r="G316"/>
      <c r="H316"/>
      <c r="I316"/>
      <c r="J316"/>
      <c r="K316"/>
    </row>
    <row r="317" spans="1:11" ht="19.5">
      <c r="A317" s="1" t="s">
        <v>206</v>
      </c>
      <c r="B317"/>
      <c r="C317"/>
      <c r="D317"/>
      <c r="E317"/>
      <c r="F317"/>
      <c r="G317"/>
      <c r="H317"/>
      <c r="I317"/>
      <c r="J317"/>
      <c r="K317"/>
    </row>
    <row r="318" spans="1:11" ht="15">
      <c r="A318" s="2"/>
      <c r="B318"/>
      <c r="C318"/>
      <c r="D318"/>
      <c r="E318"/>
      <c r="F318"/>
      <c r="G318"/>
      <c r="H318"/>
      <c r="I318"/>
      <c r="J318"/>
      <c r="K318"/>
    </row>
    <row r="319" spans="1:11" ht="15">
      <c r="A319" s="2" t="s">
        <v>203</v>
      </c>
      <c r="B319"/>
      <c r="C319"/>
      <c r="D319"/>
      <c r="E319"/>
      <c r="F319"/>
      <c r="G319"/>
      <c r="H319"/>
      <c r="I319"/>
      <c r="J319"/>
      <c r="K319"/>
    </row>
    <row r="320" spans="1:11" ht="15">
      <c r="A320" t="s">
        <v>204</v>
      </c>
      <c r="B320"/>
      <c r="C320"/>
      <c r="D320"/>
      <c r="E320"/>
      <c r="F320"/>
      <c r="G320"/>
      <c r="H320"/>
      <c r="I320"/>
      <c r="J320"/>
      <c r="K320"/>
    </row>
    <row r="321" spans="1:11" ht="15">
      <c r="A321"/>
      <c r="B321" s="3" t="s">
        <v>195</v>
      </c>
      <c r="C321" s="3" t="s">
        <v>196</v>
      </c>
      <c r="D321" s="3" t="s">
        <v>197</v>
      </c>
      <c r="E321"/>
      <c r="F321"/>
      <c r="G321"/>
      <c r="H321"/>
      <c r="I321"/>
      <c r="J321"/>
      <c r="K321"/>
    </row>
    <row r="322" spans="1:11" ht="15">
      <c r="A322" s="8" t="s">
        <v>205</v>
      </c>
      <c r="B322" s="14">
        <f>VLOOKUP(Vlookup!B289,'CDCM Forecast Data'!$A$14:$I$271,9,FALSE)</f>
        <v>522</v>
      </c>
      <c r="C322" s="14">
        <f>VLOOKUP(Vlookup!C289,'CDCM Forecast Data'!$A$14:$I$271,9,FALSE)</f>
        <v>3444</v>
      </c>
      <c r="D322" s="14">
        <f>VLOOKUP(Vlookup!D289,'CDCM Forecast Data'!$A$14:$I$271,9,FALSE)</f>
        <v>4794</v>
      </c>
      <c r="E322" s="7" t="s">
        <v>224</v>
      </c>
      <c r="F322"/>
      <c r="G322"/>
      <c r="H322"/>
      <c r="I322"/>
      <c r="J322"/>
      <c r="K322"/>
    </row>
    <row r="323" spans="1:11" ht="15">
      <c r="A323"/>
      <c r="B323"/>
      <c r="C323"/>
      <c r="D323"/>
      <c r="E323"/>
      <c r="F323"/>
      <c r="G323"/>
      <c r="H323"/>
      <c r="I323"/>
      <c r="J323"/>
      <c r="K323"/>
    </row>
    <row r="324" spans="1:11" ht="19.5">
      <c r="A324" s="1" t="s">
        <v>207</v>
      </c>
      <c r="B324"/>
      <c r="C324"/>
      <c r="D324"/>
      <c r="E324"/>
      <c r="F324"/>
      <c r="G324"/>
      <c r="H324"/>
      <c r="I324"/>
      <c r="J324"/>
      <c r="K324"/>
    </row>
    <row r="325" spans="1:11" ht="15">
      <c r="A325" s="2"/>
      <c r="B325"/>
      <c r="C325"/>
      <c r="D325"/>
      <c r="E325"/>
      <c r="F325"/>
      <c r="G325"/>
      <c r="H325"/>
      <c r="I325"/>
      <c r="J325"/>
      <c r="K325"/>
    </row>
    <row r="326" spans="1:11" ht="15">
      <c r="A326"/>
      <c r="B326"/>
      <c r="C326"/>
      <c r="D326"/>
      <c r="E326"/>
      <c r="F326"/>
      <c r="G326"/>
      <c r="H326"/>
      <c r="I326"/>
      <c r="J326"/>
      <c r="K326"/>
    </row>
    <row r="327" spans="1:11" ht="15">
      <c r="A327" t="s">
        <v>208</v>
      </c>
      <c r="B327" s="15"/>
      <c r="C327" s="15"/>
      <c r="D327" s="15"/>
      <c r="E327"/>
      <c r="F327"/>
      <c r="G327"/>
      <c r="H327"/>
      <c r="I327"/>
      <c r="J327"/>
      <c r="K327"/>
    </row>
    <row r="328" spans="1:11" ht="15">
      <c r="A328"/>
      <c r="B328" s="3" t="s">
        <v>195</v>
      </c>
      <c r="C328" s="3" t="s">
        <v>196</v>
      </c>
      <c r="D328" s="3" t="s">
        <v>197</v>
      </c>
      <c r="E328" s="3" t="s">
        <v>200</v>
      </c>
      <c r="F328"/>
      <c r="G328"/>
      <c r="H328"/>
      <c r="I328"/>
      <c r="J328"/>
      <c r="K328"/>
    </row>
    <row r="329" spans="1:11" ht="15">
      <c r="A329" s="8" t="s">
        <v>22</v>
      </c>
      <c r="B329" s="11">
        <f>VLOOKUP(Vlookup!B295,'CDCM Forecast Data'!$A$14:$I$271,9,FALSE)</f>
        <v>1</v>
      </c>
      <c r="C329" s="11">
        <f>VLOOKUP(Vlookup!C295,'CDCM Forecast Data'!$A$14:$I$271,9,FALSE)</f>
        <v>0</v>
      </c>
      <c r="D329" s="11">
        <f>VLOOKUP(Vlookup!D295,'CDCM Forecast Data'!$A$14:$I$271,9,FALSE)</f>
        <v>0</v>
      </c>
      <c r="E329" s="11">
        <f>VLOOKUP(Vlookup!E295,'CDCM Forecast Data'!$A$14:$I$271,9,FALSE)</f>
        <v>0.92156483159064961</v>
      </c>
      <c r="F329" s="7" t="s">
        <v>224</v>
      </c>
      <c r="G329"/>
      <c r="H329"/>
      <c r="I329"/>
      <c r="J329"/>
      <c r="K329"/>
    </row>
    <row r="330" spans="1:11" ht="15">
      <c r="A330" s="8" t="s">
        <v>23</v>
      </c>
      <c r="B330" s="11">
        <f>VLOOKUP(Vlookup!B296,'CDCM Forecast Data'!$A$14:$I$271,9,FALSE)</f>
        <v>0.84421935577541152</v>
      </c>
      <c r="C330" s="11">
        <f>VLOOKUP(Vlookup!C296,'CDCM Forecast Data'!$A$14:$I$271,9,FALSE)</f>
        <v>9.0147705546417975E-2</v>
      </c>
      <c r="D330" s="11">
        <f>VLOOKUP(Vlookup!D296,'CDCM Forecast Data'!$A$14:$I$271,9,FALSE)</f>
        <v>6.5632938678170452E-2</v>
      </c>
      <c r="E330" s="11">
        <f>VLOOKUP(Vlookup!E296,'CDCM Forecast Data'!$A$14:$I$271,9,FALSE)</f>
        <v>0.8059370919906842</v>
      </c>
      <c r="F330" s="7" t="s">
        <v>224</v>
      </c>
      <c r="G330"/>
      <c r="H330"/>
      <c r="I330"/>
      <c r="J330"/>
      <c r="K330"/>
    </row>
    <row r="331" spans="1:11" ht="15">
      <c r="A331" s="8" t="s">
        <v>24</v>
      </c>
      <c r="B331" s="11">
        <f>VLOOKUP(Vlookup!B297,'CDCM Forecast Data'!$A$14:$I$271,9,FALSE)</f>
        <v>0.84421935577541152</v>
      </c>
      <c r="C331" s="11">
        <f>VLOOKUP(Vlookup!C297,'CDCM Forecast Data'!$A$14:$I$271,9,FALSE)</f>
        <v>9.0147705546417975E-2</v>
      </c>
      <c r="D331" s="11">
        <f>VLOOKUP(Vlookup!D297,'CDCM Forecast Data'!$A$14:$I$271,9,FALSE)</f>
        <v>6.5632938678170452E-2</v>
      </c>
      <c r="E331" s="11">
        <f>VLOOKUP(Vlookup!E297,'CDCM Forecast Data'!$A$14:$I$271,9,FALSE)</f>
        <v>0.8059370919906842</v>
      </c>
      <c r="F331" s="7" t="s">
        <v>224</v>
      </c>
      <c r="G331"/>
      <c r="H331"/>
      <c r="I331"/>
      <c r="J331"/>
      <c r="K331"/>
    </row>
    <row r="332" spans="1:11" ht="15">
      <c r="A332" s="8" t="s">
        <v>25</v>
      </c>
      <c r="B332" s="11">
        <f>VLOOKUP(Vlookup!B298,'CDCM Forecast Data'!$A$14:$I$271,9,FALSE)</f>
        <v>0.60266573066353191</v>
      </c>
      <c r="C332" s="11">
        <f>VLOOKUP(Vlookup!C298,'CDCM Forecast Data'!$A$14:$I$271,9,FALSE)</f>
        <v>0.31015129614903031</v>
      </c>
      <c r="D332" s="11">
        <f>VLOOKUP(Vlookup!D298,'CDCM Forecast Data'!$A$14:$I$271,9,FALSE)</f>
        <v>8.7182973187437854E-2</v>
      </c>
      <c r="E332" s="11">
        <f>VLOOKUP(Vlookup!E298,'CDCM Forecast Data'!$A$14:$I$271,9,FALSE)</f>
        <v>0.53548212993836886</v>
      </c>
      <c r="F332" s="7" t="s">
        <v>224</v>
      </c>
      <c r="G332"/>
      <c r="H332"/>
      <c r="I332"/>
      <c r="J332"/>
      <c r="K332"/>
    </row>
    <row r="333" spans="1:11" ht="15">
      <c r="A333" s="8" t="s">
        <v>26</v>
      </c>
      <c r="B333" s="11">
        <f>VLOOKUP(Vlookup!B299,'CDCM Forecast Data'!$A$14:$I$271,9,FALSE)</f>
        <v>0.60266573066353191</v>
      </c>
      <c r="C333" s="11">
        <f>VLOOKUP(Vlookup!C299,'CDCM Forecast Data'!$A$14:$I$271,9,FALSE)</f>
        <v>0.31015129614903031</v>
      </c>
      <c r="D333" s="11">
        <f>VLOOKUP(Vlookup!D299,'CDCM Forecast Data'!$A$14:$I$271,9,FALSE)</f>
        <v>8.7182973187437854E-2</v>
      </c>
      <c r="E333" s="11">
        <f>VLOOKUP(Vlookup!E299,'CDCM Forecast Data'!$A$14:$I$271,9,FALSE)</f>
        <v>0.53548212993836886</v>
      </c>
      <c r="F333" s="7" t="s">
        <v>224</v>
      </c>
      <c r="G333"/>
      <c r="H333"/>
      <c r="I333"/>
      <c r="J333"/>
      <c r="K333"/>
    </row>
    <row r="334" spans="1:11" ht="15">
      <c r="A334" s="8" t="s">
        <v>31</v>
      </c>
      <c r="B334" s="11">
        <f>VLOOKUP(Vlookup!B300,'CDCM Forecast Data'!$A$14:$I$271,9,FALSE)</f>
        <v>0.84421935577541152</v>
      </c>
      <c r="C334" s="11">
        <f>VLOOKUP(Vlookup!C300,'CDCM Forecast Data'!$A$14:$I$271,9,FALSE)</f>
        <v>9.0147705546417975E-2</v>
      </c>
      <c r="D334" s="11">
        <f>VLOOKUP(Vlookup!D300,'CDCM Forecast Data'!$A$14:$I$271,9,FALSE)</f>
        <v>6.5632938678170452E-2</v>
      </c>
      <c r="E334" s="11">
        <f>VLOOKUP(Vlookup!E300,'CDCM Forecast Data'!$A$14:$I$271,9,FALSE)</f>
        <v>0.8059370919906842</v>
      </c>
      <c r="F334" s="7" t="s">
        <v>224</v>
      </c>
      <c r="G334"/>
      <c r="H334"/>
      <c r="I334"/>
      <c r="J334"/>
      <c r="K334"/>
    </row>
    <row r="335" spans="1:11" ht="15">
      <c r="A335" s="8" t="s">
        <v>27</v>
      </c>
      <c r="B335" s="11">
        <f>VLOOKUP(Vlookup!B301,'CDCM Forecast Data'!$A$14:$I$271,9,FALSE)</f>
        <v>0.60266573066353191</v>
      </c>
      <c r="C335" s="11">
        <f>VLOOKUP(Vlookup!C301,'CDCM Forecast Data'!$A$14:$I$271,9,FALSE)</f>
        <v>0.31015129614903031</v>
      </c>
      <c r="D335" s="11">
        <f>VLOOKUP(Vlookup!D301,'CDCM Forecast Data'!$A$14:$I$271,9,FALSE)</f>
        <v>8.7182973187437854E-2</v>
      </c>
      <c r="E335" s="11">
        <f>VLOOKUP(Vlookup!E301,'CDCM Forecast Data'!$A$14:$I$271,9,FALSE)</f>
        <v>0.53548212993836886</v>
      </c>
      <c r="F335" s="7" t="s">
        <v>224</v>
      </c>
      <c r="G335"/>
      <c r="H335"/>
      <c r="I335"/>
      <c r="J335"/>
      <c r="K335"/>
    </row>
    <row r="336" spans="1:11" ht="15">
      <c r="A336" s="8" t="s">
        <v>28</v>
      </c>
      <c r="B336" s="11">
        <f>VLOOKUP(Vlookup!B302,'CDCM Forecast Data'!$A$14:$I$271,9,FALSE)</f>
        <v>0.60266573066353191</v>
      </c>
      <c r="C336" s="11">
        <f>VLOOKUP(Vlookup!C302,'CDCM Forecast Data'!$A$14:$I$271,9,FALSE)</f>
        <v>0.31015129614903031</v>
      </c>
      <c r="D336" s="11">
        <f>VLOOKUP(Vlookup!D302,'CDCM Forecast Data'!$A$14:$I$271,9,FALSE)</f>
        <v>8.7182973187437854E-2</v>
      </c>
      <c r="E336" s="11">
        <f>VLOOKUP(Vlookup!E302,'CDCM Forecast Data'!$A$14:$I$271,9,FALSE)</f>
        <v>0.53548212993836886</v>
      </c>
      <c r="F336" s="7" t="s">
        <v>224</v>
      </c>
      <c r="G336"/>
      <c r="H336"/>
      <c r="I336"/>
      <c r="J336"/>
      <c r="K336"/>
    </row>
    <row r="337" spans="1:11" ht="15">
      <c r="A337" s="8" t="s">
        <v>29</v>
      </c>
      <c r="B337" s="11">
        <f>VLOOKUP(Vlookup!B303,'CDCM Forecast Data'!$A$14:$I$271,9,FALSE)</f>
        <v>0.60266573066353191</v>
      </c>
      <c r="C337" s="11">
        <f>VLOOKUP(Vlookup!C303,'CDCM Forecast Data'!$A$14:$I$271,9,FALSE)</f>
        <v>0.31015129614903031</v>
      </c>
      <c r="D337" s="11">
        <f>VLOOKUP(Vlookup!D303,'CDCM Forecast Data'!$A$14:$I$271,9,FALSE)</f>
        <v>8.7182973187437854E-2</v>
      </c>
      <c r="E337" s="11">
        <f>VLOOKUP(Vlookup!E303,'CDCM Forecast Data'!$A$14:$I$271,9,FALSE)</f>
        <v>0.53548212993836886</v>
      </c>
      <c r="F337" s="7" t="s">
        <v>224</v>
      </c>
      <c r="G337"/>
      <c r="H337"/>
      <c r="I337"/>
      <c r="J337"/>
      <c r="K337"/>
    </row>
    <row r="338" spans="1:11" ht="15">
      <c r="A338"/>
      <c r="B338"/>
      <c r="C338"/>
      <c r="D338"/>
      <c r="E338"/>
      <c r="F338"/>
      <c r="G338"/>
      <c r="H338"/>
      <c r="I338"/>
      <c r="J338"/>
      <c r="K338"/>
    </row>
    <row r="339" spans="1:11" ht="19.5">
      <c r="A339" s="1" t="s">
        <v>1166</v>
      </c>
      <c r="B339"/>
      <c r="C339"/>
      <c r="D339"/>
      <c r="E339"/>
      <c r="F339"/>
      <c r="G339"/>
      <c r="H339"/>
      <c r="I339"/>
      <c r="J339"/>
      <c r="K339"/>
    </row>
    <row r="340" spans="1:11" ht="15">
      <c r="A340" s="2" t="s">
        <v>1165</v>
      </c>
      <c r="B340"/>
      <c r="C340"/>
      <c r="D340"/>
      <c r="E340"/>
      <c r="F340"/>
      <c r="G340"/>
      <c r="H340"/>
      <c r="I340"/>
      <c r="J340"/>
      <c r="K340"/>
    </row>
    <row r="341" spans="1:11" ht="15">
      <c r="A341"/>
      <c r="B341"/>
      <c r="C341"/>
      <c r="D341"/>
      <c r="E341"/>
      <c r="F341"/>
      <c r="G341"/>
      <c r="H341"/>
      <c r="I341"/>
      <c r="J341"/>
      <c r="K341"/>
    </row>
    <row r="342" spans="1:11" ht="30">
      <c r="A342"/>
      <c r="B342" s="3" t="s">
        <v>1164</v>
      </c>
      <c r="C342"/>
      <c r="D342"/>
      <c r="E342"/>
      <c r="F342"/>
      <c r="G342"/>
      <c r="H342"/>
      <c r="I342"/>
      <c r="J342"/>
      <c r="K342"/>
    </row>
    <row r="343" spans="1:11" ht="15">
      <c r="A343" s="8" t="s">
        <v>1164</v>
      </c>
      <c r="B343" s="10">
        <f>1000000*'Table 1'!J48</f>
        <v>376135298.00727862</v>
      </c>
      <c r="C343" s="7"/>
      <c r="D343"/>
      <c r="E343"/>
      <c r="F343"/>
      <c r="G343"/>
      <c r="H343"/>
      <c r="I343"/>
      <c r="J343"/>
      <c r="K343"/>
    </row>
    <row r="344" spans="1:11" ht="15">
      <c r="A344"/>
      <c r="B344"/>
      <c r="C344"/>
      <c r="D344"/>
      <c r="E344"/>
      <c r="F344"/>
      <c r="G344"/>
      <c r="H344"/>
      <c r="I344"/>
      <c r="J344"/>
      <c r="K344"/>
    </row>
    <row r="345" spans="1:11" ht="19.5">
      <c r="A345" s="1" t="s">
        <v>210</v>
      </c>
      <c r="B345"/>
      <c r="C345"/>
      <c r="D345"/>
      <c r="E345"/>
      <c r="F345"/>
      <c r="G345"/>
      <c r="H345"/>
      <c r="I345"/>
      <c r="J345"/>
      <c r="K345"/>
    </row>
    <row r="346" spans="1:11" ht="15">
      <c r="A346" s="2" t="s">
        <v>224</v>
      </c>
      <c r="B346"/>
      <c r="C346"/>
      <c r="D346"/>
      <c r="E346"/>
      <c r="F346"/>
      <c r="G346"/>
      <c r="H346"/>
      <c r="I346"/>
      <c r="J346"/>
      <c r="K346"/>
    </row>
    <row r="347" spans="1:11" ht="15">
      <c r="A347" s="2" t="s">
        <v>211</v>
      </c>
      <c r="B347"/>
      <c r="C347"/>
      <c r="D347"/>
      <c r="E347"/>
      <c r="F347"/>
      <c r="G347"/>
      <c r="H347"/>
      <c r="I347"/>
      <c r="J347"/>
      <c r="K347"/>
    </row>
    <row r="348" spans="1:11" ht="15">
      <c r="A348" t="s">
        <v>212</v>
      </c>
      <c r="B348"/>
      <c r="C348"/>
      <c r="D348"/>
      <c r="E348"/>
      <c r="F348"/>
      <c r="G348"/>
      <c r="H348"/>
      <c r="I348"/>
      <c r="J348"/>
      <c r="K348"/>
    </row>
    <row r="349" spans="1:11" ht="15">
      <c r="A349"/>
      <c r="B349" s="3" t="s">
        <v>22</v>
      </c>
      <c r="C349" s="3" t="s">
        <v>23</v>
      </c>
      <c r="D349" s="3" t="s">
        <v>24</v>
      </c>
      <c r="E349" s="3" t="s">
        <v>25</v>
      </c>
      <c r="F349" s="3" t="s">
        <v>26</v>
      </c>
      <c r="G349" s="3" t="s">
        <v>31</v>
      </c>
      <c r="H349" s="3" t="s">
        <v>27</v>
      </c>
      <c r="I349" s="3" t="s">
        <v>28</v>
      </c>
      <c r="J349" s="3" t="s">
        <v>29</v>
      </c>
      <c r="K349"/>
    </row>
    <row r="350" spans="1:11" ht="15">
      <c r="A350" s="8" t="s">
        <v>213</v>
      </c>
      <c r="B350" s="4">
        <f>VLOOKUP(Vlookup!B310,'CDCM Forecast Data'!$A$14:$I$271,9,FALSE)</f>
        <v>0.19278921811900199</v>
      </c>
      <c r="C350" s="4">
        <f>VLOOKUP(Vlookup!C310,'CDCM Forecast Data'!$A$14:$I$271,9,FALSE)</f>
        <v>0.19278921811900199</v>
      </c>
      <c r="D350" s="4">
        <f>VLOOKUP(Vlookup!D310,'CDCM Forecast Data'!$A$14:$I$271,9,FALSE)</f>
        <v>0.19278921811900199</v>
      </c>
      <c r="E350" s="4">
        <f>VLOOKUP(Vlookup!E310,'CDCM Forecast Data'!$A$14:$I$271,9,FALSE)</f>
        <v>0.19278921811900199</v>
      </c>
      <c r="F350" s="4">
        <f>VLOOKUP(Vlookup!F310,'CDCM Forecast Data'!$A$14:$I$271,9,FALSE)</f>
        <v>0.19278921811900199</v>
      </c>
      <c r="G350" s="4">
        <f>VLOOKUP(Vlookup!G310,'CDCM Forecast Data'!$A$14:$I$271,9,FALSE)</f>
        <v>0.19278921811900199</v>
      </c>
      <c r="H350" s="4">
        <f>VLOOKUP(Vlookup!H310,'CDCM Forecast Data'!$A$14:$I$271,9,FALSE)</f>
        <v>0.19278921811900199</v>
      </c>
      <c r="I350" s="4">
        <f>VLOOKUP(Vlookup!I310,'CDCM Forecast Data'!$A$14:$I$271,9,FALSE)</f>
        <v>0.19278921811900199</v>
      </c>
      <c r="J350" s="4">
        <f>VLOOKUP(Vlookup!J310,'CDCM Forecast Data'!$A$14:$I$271,9,FALSE)</f>
        <v>0.19278921811900199</v>
      </c>
      <c r="K350" s="7" t="s">
        <v>224</v>
      </c>
    </row>
  </sheetData>
  <dataValidations count="7">
    <dataValidation type="decimal" allowBlank="1" showInputMessage="1" showErrorMessage="1" error="The number in this cell must be between 0% and 100%." sqref="B94:I94 B68:I87 B99:F104">
      <formula1>0</formula1>
      <formula2>1</formula2>
    </dataValidation>
    <dataValidation type="decimal" allowBlank="1" showInputMessage="1" showErrorMessage="1" error="The LDNO discount must be between 0% and 100%." sqref="B116">
      <formula1>0</formula1>
      <formula2>1</formula2>
    </dataValidation>
    <dataValidation type="decimal" allowBlank="1" showInputMessage="1" showErrorMessage="1" error="The coincidence factor must be between 0% and 100%." sqref="B124 B127">
      <formula1>0</formula1>
      <formula2>1</formula2>
    </dataValidation>
    <dataValidation type="textLength" operator="equal" allowBlank="1" showInputMessage="1" showErrorMessage="1" error="This cell should remain blank." sqref="B225:H225 B229:H229 B231:H231 B235:H235 B237:H237 B240:H240 B242:H242 H226:H228 H232:H234 H238:H239 H243:H244 B243:E244 B218:H218 B148:H148 B152:H152 B214:H214 B210:H210 B206:H206 B202:H202 B184:H184 B180:H180 B178:H178 B176:H176 B169:B171 B168:H168 B164:H164 B160:H160 B156:H156 B222:H222 B149:B151 E149:E151 B153:C155 E153:E155 E157:E159 B157:B159 B161:B163 E161:E163 E165:E167 B165:C167 H253:H254 B173:C175 E169:E175 B177:C177 E177 B179:C179 E179 B181:E183 B185:E187 B188:H198 B199:B201 E199:E201 B203:B205 E203:E205 B207:B209 E207:E209 B211:B213 E211:E213 B215:E217 B219:B221 E219:E221 B223:B224 E223:E224 B226:B228 E226:E228 B230 E230 B232:E234 B236:E236 B238:B239 E238:E239 B241 E241 B245:H245 B247:H247 B250:H250 B252:H252 B255:H255 H248:H249 B246:E246 B253:E254 B248:B249 E248:E249 B251 E251 B256:E256 B172:D172 F172:H172">
      <formula1>0</formula1>
    </dataValidation>
    <dataValidation type="decimal" allowBlank="1" showInputMessage="1" showErrorMessage="1" errorTitle="Invalid customer contribution" error="The customer contribution must be a non-negative percentage value." sqref="I276:I278 F278:G278 H277:H278">
      <formula1>0</formula1>
      <formula2>4</formula2>
    </dataValidation>
    <dataValidation type="decimal" operator="greaterThanOrEqual" allowBlank="1" showInputMessage="1" showErrorMessage="1" errorTitle="Volume data error" error="The volume must be a non-negative number." sqref="F223:H224 C226:D228 F230:H230 F226:G228 F236:H236 F232:G234 F241:H241 F238:G239 F243:G244 C230:D230 C238:D239 C241:D241 F215:H217 F219:H221 F211:H213 F207:H209 F203:H205 F199:H201 D173:D175 D177 D179 F185:H187 F181:H183 F179:H179 F177:H177 F173:H175 F169:H171 D165:D167 F161:H163 C157:D159 F153:H155 C149:D151 F149:H151 D153:D155 F157:H159 C161:D163 F165:H167 C169:D171 C199:D201 C203:D205 C207:D209 C211:D213 C219:D221 C223:D224 F256:H256 F246:H246 F251:H251 F248:G249 C248:D249 C251:D251 F253:G254">
      <formula1>0</formula1>
    </dataValidation>
    <dataValidation type="decimal" operator="greaterThanOrEqual" allowBlank="1" showInputMessage="1" showErrorMessage="1" sqref="B343">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7"/>
  </sheetPr>
  <dimension ref="B2:N437"/>
  <sheetViews>
    <sheetView showGridLines="0" tabSelected="1" view="pageBreakPreview" workbookViewId="0"/>
  </sheetViews>
  <sheetFormatPr defaultColWidth="8.85546875" defaultRowHeight="12.75"/>
  <cols>
    <col min="1" max="1" width="8.85546875" style="226"/>
    <col min="2" max="2" width="3.42578125" style="226" customWidth="1"/>
    <col min="3" max="3" width="50.7109375" style="226" customWidth="1"/>
    <col min="4" max="12" width="16.28515625" style="226" customWidth="1"/>
    <col min="13" max="13" width="15" style="226" customWidth="1"/>
    <col min="14" max="246" width="20.7109375" style="226" customWidth="1"/>
    <col min="247" max="16384" width="8.85546875" style="226"/>
  </cols>
  <sheetData>
    <row r="2" spans="2:13" ht="54.75" customHeight="1">
      <c r="B2" s="242" t="str">
        <f>'CDCM Forecast Data'!E3&amp;" - 5 Year Tariff Summary"</f>
        <v>WPD South West - 5 Year Tariff Summary</v>
      </c>
    </row>
    <row r="4" spans="2:13">
      <c r="C4" s="211"/>
      <c r="E4" s="211"/>
      <c r="G4" s="211"/>
      <c r="I4" s="211"/>
    </row>
    <row r="5" spans="2:13" ht="21" customHeight="1">
      <c r="C5" s="227"/>
      <c r="D5" s="228" t="s">
        <v>1112</v>
      </c>
      <c r="F5" s="371" t="s">
        <v>1167</v>
      </c>
      <c r="G5" s="371"/>
      <c r="H5" s="371"/>
      <c r="I5" s="371"/>
      <c r="J5" s="371"/>
    </row>
    <row r="6" spans="2:13" ht="15">
      <c r="C6" s="227" t="s">
        <v>1111</v>
      </c>
      <c r="D6" s="263" t="str">
        <f>+'CDCM Volume Forecasts'!G6</f>
        <v>2018/19</v>
      </c>
      <c r="F6" s="371"/>
      <c r="G6" s="371"/>
      <c r="H6" s="371"/>
      <c r="I6" s="371"/>
      <c r="J6" s="371"/>
    </row>
    <row r="7" spans="2:13" ht="15">
      <c r="C7" s="227" t="s">
        <v>1110</v>
      </c>
      <c r="D7" s="263" t="str">
        <f>+'CDCM Volume Forecasts'!H6</f>
        <v>2019/20</v>
      </c>
      <c r="F7" s="371"/>
      <c r="G7" s="371"/>
      <c r="H7" s="371"/>
      <c r="I7" s="371"/>
      <c r="J7" s="371"/>
    </row>
    <row r="8" spans="2:13" ht="15">
      <c r="C8" s="227" t="s">
        <v>1109</v>
      </c>
      <c r="D8" s="263" t="str">
        <f>+'CDCM Volume Forecasts'!I6</f>
        <v>2020/21</v>
      </c>
      <c r="E8" s="211"/>
      <c r="G8" s="211"/>
      <c r="I8" s="211"/>
    </row>
    <row r="9" spans="2:13" ht="15">
      <c r="C9" s="227" t="s">
        <v>1108</v>
      </c>
      <c r="D9" s="263" t="str">
        <f>+'CDCM Volume Forecasts'!J6</f>
        <v>2021/22</v>
      </c>
      <c r="E9" s="211"/>
      <c r="G9" s="211"/>
      <c r="I9" s="211"/>
    </row>
    <row r="10" spans="2:13" ht="15">
      <c r="C10" s="227" t="s">
        <v>1107</v>
      </c>
      <c r="D10" s="263" t="str">
        <f>+'CDCM Volume Forecasts'!K6</f>
        <v>2022/23</v>
      </c>
      <c r="E10" s="211"/>
      <c r="G10" s="211"/>
      <c r="I10" s="211"/>
    </row>
    <row r="11" spans="2:13">
      <c r="G11" s="214"/>
    </row>
    <row r="12" spans="2:13">
      <c r="G12" s="211"/>
    </row>
    <row r="13" spans="2:13">
      <c r="C13" s="215"/>
    </row>
    <row r="14" spans="2:13">
      <c r="C14" s="216"/>
    </row>
    <row r="15" spans="2:13" ht="13.5" thickBot="1"/>
    <row r="16" spans="2:13">
      <c r="B16" s="229"/>
      <c r="C16" s="230"/>
      <c r="D16" s="231"/>
      <c r="E16" s="231"/>
      <c r="F16" s="231"/>
      <c r="G16" s="231"/>
      <c r="H16" s="231"/>
      <c r="I16" s="231"/>
      <c r="J16" s="231"/>
      <c r="K16" s="231"/>
      <c r="L16" s="231"/>
      <c r="M16" s="232"/>
    </row>
    <row r="17" spans="2:14">
      <c r="B17" s="233"/>
      <c r="C17" s="234" t="str">
        <f>"Tariffs for Charging Year: "&amp; " "&amp;D6&amp;""</f>
        <v>Tariffs for Charging Year:  2018/19</v>
      </c>
      <c r="D17" s="234"/>
      <c r="E17" s="234"/>
      <c r="F17" s="234"/>
      <c r="G17" s="234"/>
      <c r="H17" s="234"/>
      <c r="I17" s="235"/>
      <c r="J17" s="235"/>
      <c r="K17" s="235"/>
      <c r="L17" s="235"/>
      <c r="M17" s="236"/>
    </row>
    <row r="18" spans="2:14">
      <c r="B18" s="233"/>
      <c r="C18" s="220"/>
      <c r="D18" s="235"/>
      <c r="E18" s="235"/>
      <c r="F18" s="235"/>
      <c r="G18" s="235"/>
      <c r="H18" s="235"/>
      <c r="I18" s="235"/>
      <c r="J18" s="235"/>
      <c r="K18" s="235"/>
      <c r="L18" s="235"/>
      <c r="M18" s="236"/>
    </row>
    <row r="19" spans="2:14">
      <c r="B19" s="233"/>
      <c r="C19" s="220"/>
      <c r="D19" s="235"/>
      <c r="E19" s="235"/>
      <c r="F19" s="235"/>
      <c r="G19" s="235"/>
      <c r="H19" s="235"/>
      <c r="I19" s="235"/>
      <c r="J19" s="235"/>
      <c r="K19" s="235"/>
      <c r="L19" s="235"/>
      <c r="M19" s="236"/>
    </row>
    <row r="20" spans="2:14" ht="38.25">
      <c r="B20" s="233"/>
      <c r="C20" s="237"/>
      <c r="D20" s="209" t="s">
        <v>926</v>
      </c>
      <c r="E20" s="209" t="s">
        <v>927</v>
      </c>
      <c r="F20" s="209" t="s">
        <v>858</v>
      </c>
      <c r="G20" s="209" t="s">
        <v>859</v>
      </c>
      <c r="H20" s="209" t="s">
        <v>860</v>
      </c>
      <c r="I20" s="209" t="s">
        <v>861</v>
      </c>
      <c r="J20" s="209" t="s">
        <v>862</v>
      </c>
      <c r="K20" s="209" t="s">
        <v>1515</v>
      </c>
      <c r="L20" s="209" t="s">
        <v>720</v>
      </c>
      <c r="M20" s="209" t="s">
        <v>928</v>
      </c>
      <c r="N20" s="236"/>
    </row>
    <row r="21" spans="2:14" ht="27" customHeight="1">
      <c r="B21" s="233"/>
      <c r="C21" s="306" t="s">
        <v>54</v>
      </c>
      <c r="D21" s="238" t="s">
        <v>1764</v>
      </c>
      <c r="E21" s="238">
        <v>1</v>
      </c>
      <c r="F21" s="251">
        <v>2.6960000000000002</v>
      </c>
      <c r="G21" s="251">
        <v>0</v>
      </c>
      <c r="H21" s="251">
        <v>0</v>
      </c>
      <c r="I21" s="252">
        <v>5.17</v>
      </c>
      <c r="J21" s="252">
        <v>0</v>
      </c>
      <c r="K21" s="252">
        <v>0</v>
      </c>
      <c r="L21" s="251">
        <v>0</v>
      </c>
      <c r="M21" s="238"/>
      <c r="N21" s="236"/>
    </row>
    <row r="22" spans="2:14" ht="27" customHeight="1">
      <c r="B22" s="233"/>
      <c r="C22" s="306" t="s">
        <v>55</v>
      </c>
      <c r="D22" s="238" t="s">
        <v>1765</v>
      </c>
      <c r="E22" s="238">
        <v>2</v>
      </c>
      <c r="F22" s="251">
        <v>3.0350000000000001</v>
      </c>
      <c r="G22" s="251">
        <v>1.4339999999999999</v>
      </c>
      <c r="H22" s="251">
        <v>0</v>
      </c>
      <c r="I22" s="252">
        <v>5.17</v>
      </c>
      <c r="J22" s="252">
        <v>0</v>
      </c>
      <c r="K22" s="252">
        <v>0</v>
      </c>
      <c r="L22" s="251">
        <v>0</v>
      </c>
      <c r="M22" s="238"/>
      <c r="N22" s="236"/>
    </row>
    <row r="23" spans="2:14" ht="27" customHeight="1">
      <c r="B23" s="233"/>
      <c r="C23" s="306" t="s">
        <v>91</v>
      </c>
      <c r="D23" s="238">
        <v>430</v>
      </c>
      <c r="E23" s="238">
        <v>2</v>
      </c>
      <c r="F23" s="251">
        <v>1.4159999999999999</v>
      </c>
      <c r="G23" s="251">
        <v>0</v>
      </c>
      <c r="H23" s="251">
        <v>0</v>
      </c>
      <c r="I23" s="252">
        <v>0</v>
      </c>
      <c r="J23" s="252">
        <v>0</v>
      </c>
      <c r="K23" s="252">
        <v>0</v>
      </c>
      <c r="L23" s="251">
        <v>0</v>
      </c>
      <c r="M23" s="238"/>
      <c r="N23" s="236"/>
    </row>
    <row r="24" spans="2:14" ht="27" customHeight="1">
      <c r="B24" s="233"/>
      <c r="C24" s="306" t="s">
        <v>56</v>
      </c>
      <c r="D24" s="238">
        <v>110</v>
      </c>
      <c r="E24" s="238">
        <v>3</v>
      </c>
      <c r="F24" s="251">
        <v>2.4590000000000001</v>
      </c>
      <c r="G24" s="251">
        <v>0</v>
      </c>
      <c r="H24" s="251">
        <v>0</v>
      </c>
      <c r="I24" s="252">
        <v>8.3699999999999992</v>
      </c>
      <c r="J24" s="252">
        <v>0</v>
      </c>
      <c r="K24" s="252">
        <v>0</v>
      </c>
      <c r="L24" s="251">
        <v>0</v>
      </c>
      <c r="M24" s="238"/>
      <c r="N24" s="236"/>
    </row>
    <row r="25" spans="2:14" ht="27" customHeight="1">
      <c r="B25" s="233"/>
      <c r="C25" s="306" t="s">
        <v>57</v>
      </c>
      <c r="D25" s="238">
        <v>210</v>
      </c>
      <c r="E25" s="238">
        <v>4</v>
      </c>
      <c r="F25" s="251">
        <v>2.66</v>
      </c>
      <c r="G25" s="251">
        <v>1.429</v>
      </c>
      <c r="H25" s="251">
        <v>0</v>
      </c>
      <c r="I25" s="252">
        <v>8.3699999999999992</v>
      </c>
      <c r="J25" s="252">
        <v>0</v>
      </c>
      <c r="K25" s="252">
        <v>0</v>
      </c>
      <c r="L25" s="251">
        <v>0</v>
      </c>
      <c r="M25" s="238"/>
      <c r="N25" s="236"/>
    </row>
    <row r="26" spans="2:14" ht="27" customHeight="1">
      <c r="B26" s="233"/>
      <c r="C26" s="306" t="s">
        <v>92</v>
      </c>
      <c r="D26" s="238">
        <v>251</v>
      </c>
      <c r="E26" s="238">
        <v>4</v>
      </c>
      <c r="F26" s="251">
        <v>1.4239999999999999</v>
      </c>
      <c r="G26" s="251">
        <v>0</v>
      </c>
      <c r="H26" s="251">
        <v>0</v>
      </c>
      <c r="I26" s="252">
        <v>0</v>
      </c>
      <c r="J26" s="252">
        <v>0</v>
      </c>
      <c r="K26" s="252">
        <v>0</v>
      </c>
      <c r="L26" s="251">
        <v>0</v>
      </c>
      <c r="M26" s="238"/>
      <c r="N26" s="236"/>
    </row>
    <row r="27" spans="2:14" ht="27" customHeight="1">
      <c r="B27" s="233"/>
      <c r="C27" s="306" t="s">
        <v>58</v>
      </c>
      <c r="D27" s="238">
        <v>570</v>
      </c>
      <c r="E27" s="238" t="s">
        <v>929</v>
      </c>
      <c r="F27" s="251">
        <v>2.5179999999999998</v>
      </c>
      <c r="G27" s="251">
        <v>1.403</v>
      </c>
      <c r="H27" s="251">
        <v>0</v>
      </c>
      <c r="I27" s="252">
        <v>37.15</v>
      </c>
      <c r="J27" s="252">
        <v>0</v>
      </c>
      <c r="K27" s="252">
        <v>0</v>
      </c>
      <c r="L27" s="251">
        <v>0</v>
      </c>
      <c r="M27" s="238"/>
      <c r="N27" s="236"/>
    </row>
    <row r="28" spans="2:14" ht="27" customHeight="1">
      <c r="B28" s="233"/>
      <c r="C28" s="306" t="s">
        <v>59</v>
      </c>
      <c r="D28" s="238">
        <v>540</v>
      </c>
      <c r="E28" s="238" t="s">
        <v>929</v>
      </c>
      <c r="F28" s="251">
        <v>2.39</v>
      </c>
      <c r="G28" s="251">
        <v>1.39</v>
      </c>
      <c r="H28" s="251">
        <v>0</v>
      </c>
      <c r="I28" s="252">
        <v>25.77</v>
      </c>
      <c r="J28" s="252">
        <v>0</v>
      </c>
      <c r="K28" s="252">
        <v>0</v>
      </c>
      <c r="L28" s="251">
        <v>0</v>
      </c>
      <c r="M28" s="238"/>
      <c r="N28" s="236"/>
    </row>
    <row r="29" spans="2:14" ht="27" customHeight="1">
      <c r="B29" s="233"/>
      <c r="C29" s="306" t="s">
        <v>72</v>
      </c>
      <c r="D29" s="238">
        <v>510</v>
      </c>
      <c r="E29" s="238" t="s">
        <v>929</v>
      </c>
      <c r="F29" s="251">
        <v>1.9339999999999999</v>
      </c>
      <c r="G29" s="251">
        <v>1.337</v>
      </c>
      <c r="H29" s="251">
        <v>0</v>
      </c>
      <c r="I29" s="252">
        <v>172.89</v>
      </c>
      <c r="J29" s="252">
        <v>0</v>
      </c>
      <c r="K29" s="252">
        <v>0</v>
      </c>
      <c r="L29" s="251">
        <v>0</v>
      </c>
      <c r="M29" s="238"/>
      <c r="N29" s="236"/>
    </row>
    <row r="30" spans="2:14" ht="27" customHeight="1">
      <c r="B30" s="233"/>
      <c r="C30" s="306" t="s">
        <v>1178</v>
      </c>
      <c r="D30" s="238">
        <v>202</v>
      </c>
      <c r="E30" s="238"/>
      <c r="F30" s="251">
        <v>13.893000000000001</v>
      </c>
      <c r="G30" s="251">
        <v>1.806</v>
      </c>
      <c r="H30" s="251">
        <v>1.42</v>
      </c>
      <c r="I30" s="252">
        <v>5.17</v>
      </c>
      <c r="J30" s="252">
        <v>0</v>
      </c>
      <c r="K30" s="252">
        <v>0</v>
      </c>
      <c r="L30" s="251">
        <v>0</v>
      </c>
      <c r="M30" s="238"/>
      <c r="N30" s="236"/>
    </row>
    <row r="31" spans="2:14" ht="27" customHeight="1">
      <c r="B31" s="233"/>
      <c r="C31" s="306" t="s">
        <v>1177</v>
      </c>
      <c r="D31" s="238">
        <v>203</v>
      </c>
      <c r="E31" s="238"/>
      <c r="F31" s="251">
        <v>14.143000000000001</v>
      </c>
      <c r="G31" s="251">
        <v>1.8169999999999999</v>
      </c>
      <c r="H31" s="251">
        <v>1.423</v>
      </c>
      <c r="I31" s="252">
        <v>8.3699999999999992</v>
      </c>
      <c r="J31" s="252">
        <v>0</v>
      </c>
      <c r="K31" s="252">
        <v>0</v>
      </c>
      <c r="L31" s="251">
        <v>0</v>
      </c>
      <c r="M31" s="238"/>
      <c r="N31" s="236"/>
    </row>
    <row r="32" spans="2:14" ht="27" customHeight="1">
      <c r="B32" s="233"/>
      <c r="C32" s="306" t="s">
        <v>60</v>
      </c>
      <c r="D32" s="238">
        <v>570</v>
      </c>
      <c r="E32" s="238"/>
      <c r="F32" s="251">
        <v>10.317</v>
      </c>
      <c r="G32" s="251">
        <v>1.617</v>
      </c>
      <c r="H32" s="251">
        <v>1.3759999999999999</v>
      </c>
      <c r="I32" s="252">
        <v>11.81</v>
      </c>
      <c r="J32" s="252">
        <v>3.05</v>
      </c>
      <c r="K32" s="252">
        <v>6.95</v>
      </c>
      <c r="L32" s="251">
        <v>0.151</v>
      </c>
      <c r="M32" s="238"/>
      <c r="N32" s="236"/>
    </row>
    <row r="33" spans="2:14" ht="27" customHeight="1">
      <c r="B33" s="233"/>
      <c r="C33" s="306" t="s">
        <v>61</v>
      </c>
      <c r="D33" s="238">
        <v>540</v>
      </c>
      <c r="E33" s="238"/>
      <c r="F33" s="251">
        <v>8.2810000000000006</v>
      </c>
      <c r="G33" s="251">
        <v>1.48</v>
      </c>
      <c r="H33" s="251">
        <v>1.347</v>
      </c>
      <c r="I33" s="252">
        <v>9.09</v>
      </c>
      <c r="J33" s="252">
        <v>3.27</v>
      </c>
      <c r="K33" s="252">
        <v>6.72</v>
      </c>
      <c r="L33" s="251">
        <v>0.107</v>
      </c>
      <c r="M33" s="238"/>
      <c r="N33" s="236"/>
    </row>
    <row r="34" spans="2:14" ht="27" customHeight="1">
      <c r="B34" s="233"/>
      <c r="C34" s="306" t="s">
        <v>73</v>
      </c>
      <c r="D34" s="238">
        <v>510</v>
      </c>
      <c r="E34" s="238"/>
      <c r="F34" s="251">
        <v>6.4630000000000001</v>
      </c>
      <c r="G34" s="251">
        <v>1.383</v>
      </c>
      <c r="H34" s="251">
        <v>1.3240000000000001</v>
      </c>
      <c r="I34" s="252">
        <v>90.23</v>
      </c>
      <c r="J34" s="252">
        <v>2.78</v>
      </c>
      <c r="K34" s="252">
        <v>6.82</v>
      </c>
      <c r="L34" s="251">
        <v>7.1999999999999995E-2</v>
      </c>
      <c r="M34" s="238"/>
      <c r="N34" s="236"/>
    </row>
    <row r="35" spans="2:14" ht="27" customHeight="1">
      <c r="B35" s="233"/>
      <c r="C35" s="306" t="s">
        <v>93</v>
      </c>
      <c r="D35" s="238">
        <v>977</v>
      </c>
      <c r="E35" s="238">
        <v>8</v>
      </c>
      <c r="F35" s="251">
        <v>2.976</v>
      </c>
      <c r="G35" s="251">
        <v>0</v>
      </c>
      <c r="H35" s="251">
        <v>0</v>
      </c>
      <c r="I35" s="252">
        <v>0</v>
      </c>
      <c r="J35" s="252">
        <v>0</v>
      </c>
      <c r="K35" s="252">
        <v>0</v>
      </c>
      <c r="L35" s="251">
        <v>0</v>
      </c>
      <c r="M35" s="238"/>
      <c r="N35" s="236"/>
    </row>
    <row r="36" spans="2:14" ht="27" customHeight="1">
      <c r="B36" s="233"/>
      <c r="C36" s="306" t="s">
        <v>94</v>
      </c>
      <c r="D36" s="238">
        <v>980</v>
      </c>
      <c r="E36" s="238">
        <v>1</v>
      </c>
      <c r="F36" s="251">
        <v>3.3479999999999999</v>
      </c>
      <c r="G36" s="251">
        <v>0</v>
      </c>
      <c r="H36" s="251">
        <v>0</v>
      </c>
      <c r="I36" s="252">
        <v>0</v>
      </c>
      <c r="J36" s="252">
        <v>0</v>
      </c>
      <c r="K36" s="252">
        <v>0</v>
      </c>
      <c r="L36" s="251">
        <v>0</v>
      </c>
      <c r="M36" s="238"/>
      <c r="N36" s="236"/>
    </row>
    <row r="37" spans="2:14" ht="27" customHeight="1">
      <c r="B37" s="233"/>
      <c r="C37" s="306" t="s">
        <v>95</v>
      </c>
      <c r="D37" s="238">
        <v>978</v>
      </c>
      <c r="E37" s="238">
        <v>1</v>
      </c>
      <c r="F37" s="251">
        <v>4.2229999999999999</v>
      </c>
      <c r="G37" s="251">
        <v>0</v>
      </c>
      <c r="H37" s="251">
        <v>0</v>
      </c>
      <c r="I37" s="252">
        <v>0</v>
      </c>
      <c r="J37" s="252">
        <v>0</v>
      </c>
      <c r="K37" s="252">
        <v>0</v>
      </c>
      <c r="L37" s="251">
        <v>0</v>
      </c>
      <c r="M37" s="238"/>
      <c r="N37" s="236"/>
    </row>
    <row r="38" spans="2:14" ht="27" customHeight="1">
      <c r="B38" s="233"/>
      <c r="C38" s="306" t="s">
        <v>96</v>
      </c>
      <c r="D38" s="238">
        <v>979</v>
      </c>
      <c r="E38" s="238">
        <v>1</v>
      </c>
      <c r="F38" s="251">
        <v>2.6160000000000001</v>
      </c>
      <c r="G38" s="251">
        <v>0</v>
      </c>
      <c r="H38" s="251">
        <v>0</v>
      </c>
      <c r="I38" s="252">
        <v>0</v>
      </c>
      <c r="J38" s="252">
        <v>0</v>
      </c>
      <c r="K38" s="252">
        <v>0</v>
      </c>
      <c r="L38" s="251">
        <v>0</v>
      </c>
      <c r="M38" s="238"/>
      <c r="N38" s="236"/>
    </row>
    <row r="39" spans="2:14" ht="27" customHeight="1">
      <c r="B39" s="233"/>
      <c r="C39" s="306" t="s">
        <v>97</v>
      </c>
      <c r="D39" s="238">
        <v>970</v>
      </c>
      <c r="E39" s="238"/>
      <c r="F39" s="251">
        <v>33.837000000000003</v>
      </c>
      <c r="G39" s="251">
        <v>2.6640000000000001</v>
      </c>
      <c r="H39" s="251">
        <v>2.2469999999999999</v>
      </c>
      <c r="I39" s="252">
        <v>0</v>
      </c>
      <c r="J39" s="252">
        <v>0</v>
      </c>
      <c r="K39" s="252">
        <v>0</v>
      </c>
      <c r="L39" s="251">
        <v>0</v>
      </c>
      <c r="M39" s="238"/>
      <c r="N39" s="236"/>
    </row>
    <row r="40" spans="2:14" ht="27" customHeight="1">
      <c r="B40" s="233"/>
      <c r="C40" s="306" t="s">
        <v>1176</v>
      </c>
      <c r="D40" s="238">
        <v>581</v>
      </c>
      <c r="E40" s="238" t="s">
        <v>1169</v>
      </c>
      <c r="F40" s="251">
        <v>-0.69599999999999995</v>
      </c>
      <c r="G40" s="251">
        <v>0</v>
      </c>
      <c r="H40" s="251">
        <v>0</v>
      </c>
      <c r="I40" s="252">
        <v>0</v>
      </c>
      <c r="J40" s="252">
        <v>0</v>
      </c>
      <c r="K40" s="252">
        <v>0</v>
      </c>
      <c r="L40" s="251">
        <v>0</v>
      </c>
      <c r="M40" s="238"/>
      <c r="N40" s="236"/>
    </row>
    <row r="41" spans="2:14" ht="27" customHeight="1">
      <c r="B41" s="233"/>
      <c r="C41" s="306" t="s">
        <v>62</v>
      </c>
      <c r="D41" s="238">
        <v>551</v>
      </c>
      <c r="E41" s="238">
        <v>8</v>
      </c>
      <c r="F41" s="251">
        <v>-0.629</v>
      </c>
      <c r="G41" s="251">
        <v>0</v>
      </c>
      <c r="H41" s="251">
        <v>0</v>
      </c>
      <c r="I41" s="252">
        <v>0</v>
      </c>
      <c r="J41" s="252">
        <v>0</v>
      </c>
      <c r="K41" s="252">
        <v>0</v>
      </c>
      <c r="L41" s="251">
        <v>0</v>
      </c>
      <c r="M41" s="238"/>
      <c r="N41" s="236"/>
    </row>
    <row r="42" spans="2:14" ht="27" customHeight="1">
      <c r="B42" s="233"/>
      <c r="C42" s="306" t="s">
        <v>63</v>
      </c>
      <c r="D42" s="238">
        <v>581</v>
      </c>
      <c r="E42" s="238"/>
      <c r="F42" s="251">
        <v>-0.69599999999999995</v>
      </c>
      <c r="G42" s="251">
        <v>0</v>
      </c>
      <c r="H42" s="251">
        <v>0</v>
      </c>
      <c r="I42" s="252">
        <v>0</v>
      </c>
      <c r="J42" s="252">
        <v>0</v>
      </c>
      <c r="K42" s="252">
        <v>0</v>
      </c>
      <c r="L42" s="251">
        <v>0.151</v>
      </c>
      <c r="M42" s="238"/>
      <c r="N42" s="236"/>
    </row>
    <row r="43" spans="2:14" ht="27" customHeight="1">
      <c r="B43" s="233"/>
      <c r="C43" s="306" t="s">
        <v>1516</v>
      </c>
      <c r="D43" s="238" t="s">
        <v>1766</v>
      </c>
      <c r="E43" s="238"/>
      <c r="F43" s="251">
        <v>-0.69599999999999995</v>
      </c>
      <c r="G43" s="251">
        <v>0</v>
      </c>
      <c r="H43" s="251">
        <v>0</v>
      </c>
      <c r="I43" s="252">
        <v>0</v>
      </c>
      <c r="J43" s="252">
        <v>0</v>
      </c>
      <c r="K43" s="252">
        <v>0</v>
      </c>
      <c r="L43" s="251">
        <v>0</v>
      </c>
      <c r="M43" s="238"/>
      <c r="N43" s="236"/>
    </row>
    <row r="44" spans="2:14" ht="27" customHeight="1">
      <c r="B44" s="233"/>
      <c r="C44" s="306" t="s">
        <v>64</v>
      </c>
      <c r="D44" s="238">
        <v>527</v>
      </c>
      <c r="E44" s="238"/>
      <c r="F44" s="251">
        <v>-8.5429999999999993</v>
      </c>
      <c r="G44" s="251">
        <v>-0.35399999999999998</v>
      </c>
      <c r="H44" s="251">
        <v>-9.1999999999999998E-2</v>
      </c>
      <c r="I44" s="252">
        <v>0</v>
      </c>
      <c r="J44" s="252">
        <v>0</v>
      </c>
      <c r="K44" s="252">
        <v>0</v>
      </c>
      <c r="L44" s="251">
        <v>0.151</v>
      </c>
      <c r="M44" s="238"/>
      <c r="N44" s="236"/>
    </row>
    <row r="45" spans="2:14" ht="27" customHeight="1">
      <c r="B45" s="233"/>
      <c r="C45" s="306" t="s">
        <v>1517</v>
      </c>
      <c r="D45" s="238" t="s">
        <v>1766</v>
      </c>
      <c r="E45" s="238"/>
      <c r="F45" s="251">
        <v>-8.5429999999999993</v>
      </c>
      <c r="G45" s="251">
        <v>-0.35399999999999998</v>
      </c>
      <c r="H45" s="251">
        <v>-9.1999999999999998E-2</v>
      </c>
      <c r="I45" s="252">
        <v>0</v>
      </c>
      <c r="J45" s="252">
        <v>0</v>
      </c>
      <c r="K45" s="252">
        <v>0</v>
      </c>
      <c r="L45" s="251">
        <v>0</v>
      </c>
      <c r="M45" s="238"/>
      <c r="N45" s="236"/>
    </row>
    <row r="46" spans="2:14" ht="27" customHeight="1">
      <c r="B46" s="233"/>
      <c r="C46" s="306" t="s">
        <v>65</v>
      </c>
      <c r="D46" s="238">
        <v>551</v>
      </c>
      <c r="E46" s="238"/>
      <c r="F46" s="251">
        <v>-0.629</v>
      </c>
      <c r="G46" s="251">
        <v>0</v>
      </c>
      <c r="H46" s="251">
        <v>0</v>
      </c>
      <c r="I46" s="252">
        <v>0</v>
      </c>
      <c r="J46" s="252">
        <v>0</v>
      </c>
      <c r="K46" s="252">
        <v>0</v>
      </c>
      <c r="L46" s="251">
        <v>0.126</v>
      </c>
      <c r="M46" s="238"/>
      <c r="N46" s="236"/>
    </row>
    <row r="47" spans="2:14" ht="27" customHeight="1">
      <c r="B47" s="233"/>
      <c r="C47" s="306" t="s">
        <v>1518</v>
      </c>
      <c r="D47" s="238" t="s">
        <v>1766</v>
      </c>
      <c r="E47" s="238"/>
      <c r="F47" s="251">
        <v>-0.629</v>
      </c>
      <c r="G47" s="251">
        <v>0</v>
      </c>
      <c r="H47" s="251">
        <v>0</v>
      </c>
      <c r="I47" s="252">
        <v>0</v>
      </c>
      <c r="J47" s="252">
        <v>0</v>
      </c>
      <c r="K47" s="252">
        <v>0</v>
      </c>
      <c r="L47" s="251">
        <v>0</v>
      </c>
      <c r="M47" s="238"/>
      <c r="N47" s="236"/>
    </row>
    <row r="48" spans="2:14" ht="27" customHeight="1">
      <c r="B48" s="233"/>
      <c r="C48" s="306" t="s">
        <v>66</v>
      </c>
      <c r="D48" s="238">
        <v>526</v>
      </c>
      <c r="E48" s="238"/>
      <c r="F48" s="251">
        <v>-7.8440000000000003</v>
      </c>
      <c r="G48" s="251">
        <v>-0.30299999999999999</v>
      </c>
      <c r="H48" s="251">
        <v>-8.2000000000000003E-2</v>
      </c>
      <c r="I48" s="252">
        <v>0</v>
      </c>
      <c r="J48" s="252">
        <v>0</v>
      </c>
      <c r="K48" s="252">
        <v>0</v>
      </c>
      <c r="L48" s="251">
        <v>0.126</v>
      </c>
      <c r="M48" s="238"/>
      <c r="N48" s="236"/>
    </row>
    <row r="49" spans="2:14" ht="27" customHeight="1">
      <c r="B49" s="233"/>
      <c r="C49" s="306" t="s">
        <v>1519</v>
      </c>
      <c r="D49" s="238" t="s">
        <v>1766</v>
      </c>
      <c r="E49" s="238"/>
      <c r="F49" s="251">
        <v>-7.8440000000000003</v>
      </c>
      <c r="G49" s="251">
        <v>-0.30299999999999999</v>
      </c>
      <c r="H49" s="251">
        <v>-8.2000000000000003E-2</v>
      </c>
      <c r="I49" s="252">
        <v>0</v>
      </c>
      <c r="J49" s="252">
        <v>0</v>
      </c>
      <c r="K49" s="252">
        <v>0</v>
      </c>
      <c r="L49" s="251">
        <v>0</v>
      </c>
      <c r="M49" s="238"/>
      <c r="N49" s="236"/>
    </row>
    <row r="50" spans="2:14" ht="27" customHeight="1">
      <c r="B50" s="233"/>
      <c r="C50" s="306" t="s">
        <v>74</v>
      </c>
      <c r="D50" s="238">
        <v>521</v>
      </c>
      <c r="E50" s="238"/>
      <c r="F50" s="251">
        <v>-0.4</v>
      </c>
      <c r="G50" s="251">
        <v>0</v>
      </c>
      <c r="H50" s="251">
        <v>0</v>
      </c>
      <c r="I50" s="252">
        <v>43.5</v>
      </c>
      <c r="J50" s="252">
        <v>0</v>
      </c>
      <c r="K50" s="252">
        <v>0</v>
      </c>
      <c r="L50" s="251">
        <v>9.6000000000000002E-2</v>
      </c>
      <c r="M50" s="238"/>
      <c r="N50" s="236"/>
    </row>
    <row r="51" spans="2:14" ht="27" customHeight="1">
      <c r="B51" s="233"/>
      <c r="C51" s="306" t="s">
        <v>1520</v>
      </c>
      <c r="D51" s="238" t="s">
        <v>1766</v>
      </c>
      <c r="E51" s="238"/>
      <c r="F51" s="251">
        <v>-0.4</v>
      </c>
      <c r="G51" s="251">
        <v>0</v>
      </c>
      <c r="H51" s="251">
        <v>0</v>
      </c>
      <c r="I51" s="252">
        <v>43.5</v>
      </c>
      <c r="J51" s="252">
        <v>0</v>
      </c>
      <c r="K51" s="252">
        <v>0</v>
      </c>
      <c r="L51" s="251">
        <v>0</v>
      </c>
      <c r="M51" s="238"/>
      <c r="N51" s="236"/>
    </row>
    <row r="52" spans="2:14" ht="27" customHeight="1">
      <c r="B52" s="233"/>
      <c r="C52" s="306" t="s">
        <v>75</v>
      </c>
      <c r="D52" s="238">
        <v>524</v>
      </c>
      <c r="E52" s="238"/>
      <c r="F52" s="251">
        <v>-5.4420000000000002</v>
      </c>
      <c r="G52" s="251">
        <v>-0.13200000000000001</v>
      </c>
      <c r="H52" s="251">
        <v>-4.5999999999999999E-2</v>
      </c>
      <c r="I52" s="252">
        <v>43.5</v>
      </c>
      <c r="J52" s="252">
        <v>0</v>
      </c>
      <c r="K52" s="252">
        <v>0</v>
      </c>
      <c r="L52" s="251">
        <v>9.6000000000000002E-2</v>
      </c>
      <c r="M52" s="238"/>
      <c r="N52" s="236"/>
    </row>
    <row r="53" spans="2:14" ht="27" customHeight="1">
      <c r="B53" s="233"/>
      <c r="C53" s="306" t="s">
        <v>1521</v>
      </c>
      <c r="D53" s="238" t="s">
        <v>1766</v>
      </c>
      <c r="E53" s="238"/>
      <c r="F53" s="251">
        <v>-5.4420000000000002</v>
      </c>
      <c r="G53" s="251">
        <v>-0.13200000000000001</v>
      </c>
      <c r="H53" s="251">
        <v>-4.5999999999999999E-2</v>
      </c>
      <c r="I53" s="252">
        <v>43.5</v>
      </c>
      <c r="J53" s="252">
        <v>0</v>
      </c>
      <c r="K53" s="252">
        <v>0</v>
      </c>
      <c r="L53" s="251">
        <v>0</v>
      </c>
      <c r="M53" s="238"/>
      <c r="N53" s="236"/>
    </row>
    <row r="54" spans="2:14" ht="27" customHeight="1">
      <c r="B54" s="233"/>
      <c r="C54" s="306" t="s">
        <v>109</v>
      </c>
      <c r="D54" s="238">
        <v>20300</v>
      </c>
      <c r="E54" s="238">
        <v>1</v>
      </c>
      <c r="F54" s="251">
        <v>1.6910000000000001</v>
      </c>
      <c r="G54" s="251">
        <v>0</v>
      </c>
      <c r="H54" s="251">
        <v>0</v>
      </c>
      <c r="I54" s="252">
        <v>3.24</v>
      </c>
      <c r="J54" s="252">
        <v>0</v>
      </c>
      <c r="K54" s="252">
        <v>0</v>
      </c>
      <c r="L54" s="251">
        <v>0</v>
      </c>
      <c r="M54" s="238"/>
      <c r="N54" s="236"/>
    </row>
    <row r="55" spans="2:14" ht="27" customHeight="1">
      <c r="B55" s="233"/>
      <c r="C55" s="306" t="s">
        <v>112</v>
      </c>
      <c r="D55" s="238">
        <v>20301</v>
      </c>
      <c r="E55" s="238">
        <v>2</v>
      </c>
      <c r="F55" s="251">
        <v>1.9039999999999999</v>
      </c>
      <c r="G55" s="251">
        <v>0.9</v>
      </c>
      <c r="H55" s="251">
        <v>0</v>
      </c>
      <c r="I55" s="252">
        <v>3.24</v>
      </c>
      <c r="J55" s="252">
        <v>0</v>
      </c>
      <c r="K55" s="252">
        <v>0</v>
      </c>
      <c r="L55" s="251">
        <v>0</v>
      </c>
      <c r="M55" s="238"/>
      <c r="N55" s="236"/>
    </row>
    <row r="56" spans="2:14" ht="27" customHeight="1">
      <c r="B56" s="233"/>
      <c r="C56" s="306" t="s">
        <v>115</v>
      </c>
      <c r="D56" s="238">
        <v>20302</v>
      </c>
      <c r="E56" s="238">
        <v>2</v>
      </c>
      <c r="F56" s="251">
        <v>0.88800000000000001</v>
      </c>
      <c r="G56" s="251">
        <v>0</v>
      </c>
      <c r="H56" s="251">
        <v>0</v>
      </c>
      <c r="I56" s="252">
        <v>0</v>
      </c>
      <c r="J56" s="252">
        <v>0</v>
      </c>
      <c r="K56" s="252">
        <v>0</v>
      </c>
      <c r="L56" s="251">
        <v>0</v>
      </c>
      <c r="M56" s="238"/>
      <c r="N56" s="236"/>
    </row>
    <row r="57" spans="2:14" ht="27" customHeight="1">
      <c r="B57" s="233"/>
      <c r="C57" s="306" t="s">
        <v>118</v>
      </c>
      <c r="D57" s="238">
        <v>20303</v>
      </c>
      <c r="E57" s="238">
        <v>3</v>
      </c>
      <c r="F57" s="251">
        <v>1.5429999999999999</v>
      </c>
      <c r="G57" s="251">
        <v>0</v>
      </c>
      <c r="H57" s="251">
        <v>0</v>
      </c>
      <c r="I57" s="252">
        <v>5.25</v>
      </c>
      <c r="J57" s="252">
        <v>0</v>
      </c>
      <c r="K57" s="252">
        <v>0</v>
      </c>
      <c r="L57" s="251">
        <v>0</v>
      </c>
      <c r="M57" s="238"/>
      <c r="N57" s="236"/>
    </row>
    <row r="58" spans="2:14" ht="27" customHeight="1">
      <c r="B58" s="233"/>
      <c r="C58" s="306" t="s">
        <v>121</v>
      </c>
      <c r="D58" s="238">
        <v>20304</v>
      </c>
      <c r="E58" s="238">
        <v>4</v>
      </c>
      <c r="F58" s="251">
        <v>1.669</v>
      </c>
      <c r="G58" s="251">
        <v>0.89600000000000002</v>
      </c>
      <c r="H58" s="251">
        <v>0</v>
      </c>
      <c r="I58" s="252">
        <v>5.25</v>
      </c>
      <c r="J58" s="252">
        <v>0</v>
      </c>
      <c r="K58" s="252">
        <v>0</v>
      </c>
      <c r="L58" s="251">
        <v>0</v>
      </c>
      <c r="M58" s="238"/>
      <c r="N58" s="236"/>
    </row>
    <row r="59" spans="2:14" ht="27" customHeight="1">
      <c r="B59" s="233"/>
      <c r="C59" s="306" t="s">
        <v>124</v>
      </c>
      <c r="D59" s="238">
        <v>20305</v>
      </c>
      <c r="E59" s="238">
        <v>4</v>
      </c>
      <c r="F59" s="251">
        <v>0.89300000000000002</v>
      </c>
      <c r="G59" s="251">
        <v>0</v>
      </c>
      <c r="H59" s="251">
        <v>0</v>
      </c>
      <c r="I59" s="252">
        <v>0</v>
      </c>
      <c r="J59" s="252">
        <v>0</v>
      </c>
      <c r="K59" s="252">
        <v>0</v>
      </c>
      <c r="L59" s="251">
        <v>0</v>
      </c>
      <c r="M59" s="238"/>
      <c r="N59" s="236"/>
    </row>
    <row r="60" spans="2:14" ht="27" customHeight="1">
      <c r="B60" s="233"/>
      <c r="C60" s="306" t="s">
        <v>127</v>
      </c>
      <c r="D60" s="238">
        <v>20306</v>
      </c>
      <c r="E60" s="238" t="s">
        <v>929</v>
      </c>
      <c r="F60" s="251">
        <v>1.58</v>
      </c>
      <c r="G60" s="251">
        <v>0.88</v>
      </c>
      <c r="H60" s="251">
        <v>0</v>
      </c>
      <c r="I60" s="252">
        <v>23.3</v>
      </c>
      <c r="J60" s="252">
        <v>0</v>
      </c>
      <c r="K60" s="252">
        <v>0</v>
      </c>
      <c r="L60" s="251">
        <v>0</v>
      </c>
      <c r="M60" s="238"/>
      <c r="N60" s="236"/>
    </row>
    <row r="61" spans="2:14" ht="27" customHeight="1">
      <c r="B61" s="233"/>
      <c r="C61" s="306" t="s">
        <v>1175</v>
      </c>
      <c r="D61" s="238">
        <v>20307</v>
      </c>
      <c r="E61" s="238"/>
      <c r="F61" s="251">
        <v>8.7149999999999999</v>
      </c>
      <c r="G61" s="251">
        <v>1.133</v>
      </c>
      <c r="H61" s="251">
        <v>0.89100000000000001</v>
      </c>
      <c r="I61" s="252">
        <v>3.24</v>
      </c>
      <c r="J61" s="252">
        <v>0</v>
      </c>
      <c r="K61" s="252">
        <v>0</v>
      </c>
      <c r="L61" s="251">
        <v>0</v>
      </c>
      <c r="M61" s="238"/>
      <c r="N61" s="236"/>
    </row>
    <row r="62" spans="2:14" ht="27" customHeight="1">
      <c r="B62" s="233"/>
      <c r="C62" s="306" t="s">
        <v>1174</v>
      </c>
      <c r="D62" s="238">
        <v>20308</v>
      </c>
      <c r="E62" s="238"/>
      <c r="F62" s="251">
        <v>8.8719999999999999</v>
      </c>
      <c r="G62" s="251">
        <v>1.1399999999999999</v>
      </c>
      <c r="H62" s="251">
        <v>0.89300000000000002</v>
      </c>
      <c r="I62" s="252">
        <v>5.25</v>
      </c>
      <c r="J62" s="252">
        <v>0</v>
      </c>
      <c r="K62" s="252">
        <v>0</v>
      </c>
      <c r="L62" s="251">
        <v>0</v>
      </c>
      <c r="M62" s="238"/>
      <c r="N62" s="236"/>
    </row>
    <row r="63" spans="2:14" ht="27" customHeight="1">
      <c r="B63" s="233"/>
      <c r="C63" s="306" t="s">
        <v>132</v>
      </c>
      <c r="D63" s="238">
        <v>20309</v>
      </c>
      <c r="E63" s="238"/>
      <c r="F63" s="251">
        <v>6.4720000000000004</v>
      </c>
      <c r="G63" s="251">
        <v>1.014</v>
      </c>
      <c r="H63" s="251">
        <v>0.86299999999999999</v>
      </c>
      <c r="I63" s="252">
        <v>7.41</v>
      </c>
      <c r="J63" s="252">
        <v>1.91</v>
      </c>
      <c r="K63" s="252">
        <v>4.3600000000000003</v>
      </c>
      <c r="L63" s="251">
        <v>9.5000000000000001E-2</v>
      </c>
      <c r="M63" s="238"/>
      <c r="N63" s="236"/>
    </row>
    <row r="64" spans="2:14" ht="27" customHeight="1">
      <c r="B64" s="233"/>
      <c r="C64" s="306" t="s">
        <v>139</v>
      </c>
      <c r="D64" s="238">
        <v>20310</v>
      </c>
      <c r="E64" s="238">
        <v>8</v>
      </c>
      <c r="F64" s="251">
        <v>1.867</v>
      </c>
      <c r="G64" s="251">
        <v>0</v>
      </c>
      <c r="H64" s="251">
        <v>0</v>
      </c>
      <c r="I64" s="252">
        <v>0</v>
      </c>
      <c r="J64" s="252">
        <v>0</v>
      </c>
      <c r="K64" s="252">
        <v>0</v>
      </c>
      <c r="L64" s="251">
        <v>0</v>
      </c>
      <c r="M64" s="238"/>
      <c r="N64" s="236"/>
    </row>
    <row r="65" spans="2:14" ht="27" customHeight="1">
      <c r="B65" s="233"/>
      <c r="C65" s="306" t="s">
        <v>142</v>
      </c>
      <c r="D65" s="238">
        <v>20311</v>
      </c>
      <c r="E65" s="238">
        <v>1</v>
      </c>
      <c r="F65" s="251">
        <v>2.1</v>
      </c>
      <c r="G65" s="251">
        <v>0</v>
      </c>
      <c r="H65" s="251">
        <v>0</v>
      </c>
      <c r="I65" s="252">
        <v>0</v>
      </c>
      <c r="J65" s="252">
        <v>0</v>
      </c>
      <c r="K65" s="252">
        <v>0</v>
      </c>
      <c r="L65" s="251">
        <v>0</v>
      </c>
      <c r="M65" s="238"/>
      <c r="N65" s="236"/>
    </row>
    <row r="66" spans="2:14" ht="27" customHeight="1">
      <c r="B66" s="233"/>
      <c r="C66" s="306" t="s">
        <v>145</v>
      </c>
      <c r="D66" s="238">
        <v>20312</v>
      </c>
      <c r="E66" s="238">
        <v>1</v>
      </c>
      <c r="F66" s="251">
        <v>2.649</v>
      </c>
      <c r="G66" s="251">
        <v>0</v>
      </c>
      <c r="H66" s="251">
        <v>0</v>
      </c>
      <c r="I66" s="252">
        <v>0</v>
      </c>
      <c r="J66" s="252">
        <v>0</v>
      </c>
      <c r="K66" s="252">
        <v>0</v>
      </c>
      <c r="L66" s="251">
        <v>0</v>
      </c>
      <c r="M66" s="238"/>
      <c r="N66" s="236"/>
    </row>
    <row r="67" spans="2:14" ht="27" customHeight="1">
      <c r="B67" s="233"/>
      <c r="C67" s="306" t="s">
        <v>148</v>
      </c>
      <c r="D67" s="238">
        <v>20313</v>
      </c>
      <c r="E67" s="238">
        <v>1</v>
      </c>
      <c r="F67" s="251">
        <v>1.641</v>
      </c>
      <c r="G67" s="251">
        <v>0</v>
      </c>
      <c r="H67" s="251">
        <v>0</v>
      </c>
      <c r="I67" s="252">
        <v>0</v>
      </c>
      <c r="J67" s="252">
        <v>0</v>
      </c>
      <c r="K67" s="252">
        <v>0</v>
      </c>
      <c r="L67" s="251">
        <v>0</v>
      </c>
      <c r="M67" s="238"/>
      <c r="N67" s="236"/>
    </row>
    <row r="68" spans="2:14" ht="27" customHeight="1">
      <c r="B68" s="233"/>
      <c r="C68" s="306" t="s">
        <v>151</v>
      </c>
      <c r="D68" s="238">
        <v>20314</v>
      </c>
      <c r="E68" s="238"/>
      <c r="F68" s="251">
        <v>21.227</v>
      </c>
      <c r="G68" s="251">
        <v>1.671</v>
      </c>
      <c r="H68" s="251">
        <v>1.41</v>
      </c>
      <c r="I68" s="252">
        <v>0</v>
      </c>
      <c r="J68" s="252">
        <v>0</v>
      </c>
      <c r="K68" s="252">
        <v>0</v>
      </c>
      <c r="L68" s="251">
        <v>0</v>
      </c>
      <c r="M68" s="238"/>
      <c r="N68" s="236"/>
    </row>
    <row r="69" spans="2:14" ht="27" customHeight="1">
      <c r="B69" s="233"/>
      <c r="C69" s="306" t="s">
        <v>1173</v>
      </c>
      <c r="D69" s="238">
        <v>20315</v>
      </c>
      <c r="E69" s="238" t="s">
        <v>1169</v>
      </c>
      <c r="F69" s="251">
        <v>-0.69599999999999995</v>
      </c>
      <c r="G69" s="251">
        <v>0</v>
      </c>
      <c r="H69" s="251">
        <v>0</v>
      </c>
      <c r="I69" s="252">
        <v>0</v>
      </c>
      <c r="J69" s="252">
        <v>0</v>
      </c>
      <c r="K69" s="252">
        <v>0</v>
      </c>
      <c r="L69" s="251">
        <v>0</v>
      </c>
      <c r="M69" s="238"/>
      <c r="N69" s="236"/>
    </row>
    <row r="70" spans="2:14" ht="27" customHeight="1">
      <c r="B70" s="233"/>
      <c r="C70" s="306" t="s">
        <v>156</v>
      </c>
      <c r="D70" s="238">
        <v>20316</v>
      </c>
      <c r="E70" s="238"/>
      <c r="F70" s="251">
        <v>-0.69599999999999995</v>
      </c>
      <c r="G70" s="251">
        <v>0</v>
      </c>
      <c r="H70" s="251">
        <v>0</v>
      </c>
      <c r="I70" s="252">
        <v>0</v>
      </c>
      <c r="J70" s="252">
        <v>0</v>
      </c>
      <c r="K70" s="252">
        <v>0</v>
      </c>
      <c r="L70" s="251">
        <v>0.151</v>
      </c>
      <c r="M70" s="238"/>
      <c r="N70" s="236"/>
    </row>
    <row r="71" spans="2:14" ht="27" customHeight="1">
      <c r="B71" s="233"/>
      <c r="C71" s="306" t="s">
        <v>159</v>
      </c>
      <c r="D71" s="238">
        <v>20317</v>
      </c>
      <c r="E71" s="238"/>
      <c r="F71" s="251">
        <v>-8.5429999999999993</v>
      </c>
      <c r="G71" s="251">
        <v>-0.35399999999999998</v>
      </c>
      <c r="H71" s="251">
        <v>-9.1999999999999998E-2</v>
      </c>
      <c r="I71" s="252">
        <v>0</v>
      </c>
      <c r="J71" s="252">
        <v>0</v>
      </c>
      <c r="K71" s="252">
        <v>0</v>
      </c>
      <c r="L71" s="251">
        <v>0.151</v>
      </c>
      <c r="M71" s="238"/>
      <c r="N71" s="236"/>
    </row>
    <row r="72" spans="2:14" ht="27" customHeight="1">
      <c r="B72" s="233"/>
      <c r="C72" s="306" t="s">
        <v>110</v>
      </c>
      <c r="D72" s="238">
        <v>20318</v>
      </c>
      <c r="E72" s="238">
        <v>1</v>
      </c>
      <c r="F72" s="251">
        <v>1.028</v>
      </c>
      <c r="G72" s="251">
        <v>0</v>
      </c>
      <c r="H72" s="251">
        <v>0</v>
      </c>
      <c r="I72" s="252">
        <v>1.97</v>
      </c>
      <c r="J72" s="252">
        <v>0</v>
      </c>
      <c r="K72" s="252">
        <v>0</v>
      </c>
      <c r="L72" s="251">
        <v>0</v>
      </c>
      <c r="M72" s="238"/>
      <c r="N72" s="236"/>
    </row>
    <row r="73" spans="2:14" ht="27" customHeight="1">
      <c r="B73" s="233"/>
      <c r="C73" s="306" t="s">
        <v>113</v>
      </c>
      <c r="D73" s="238">
        <v>20319</v>
      </c>
      <c r="E73" s="238">
        <v>2</v>
      </c>
      <c r="F73" s="251">
        <v>1.157</v>
      </c>
      <c r="G73" s="251">
        <v>0.54700000000000004</v>
      </c>
      <c r="H73" s="251">
        <v>0</v>
      </c>
      <c r="I73" s="252">
        <v>1.97</v>
      </c>
      <c r="J73" s="252">
        <v>0</v>
      </c>
      <c r="K73" s="252">
        <v>0</v>
      </c>
      <c r="L73" s="251">
        <v>0</v>
      </c>
      <c r="M73" s="238"/>
      <c r="N73" s="236"/>
    </row>
    <row r="74" spans="2:14" ht="27" customHeight="1">
      <c r="B74" s="233"/>
      <c r="C74" s="306" t="s">
        <v>116</v>
      </c>
      <c r="D74" s="238">
        <v>20320</v>
      </c>
      <c r="E74" s="238">
        <v>2</v>
      </c>
      <c r="F74" s="251">
        <v>0.54</v>
      </c>
      <c r="G74" s="251">
        <v>0</v>
      </c>
      <c r="H74" s="251">
        <v>0</v>
      </c>
      <c r="I74" s="252">
        <v>0</v>
      </c>
      <c r="J74" s="252">
        <v>0</v>
      </c>
      <c r="K74" s="252">
        <v>0</v>
      </c>
      <c r="L74" s="251">
        <v>0</v>
      </c>
      <c r="M74" s="238"/>
      <c r="N74" s="236"/>
    </row>
    <row r="75" spans="2:14" ht="27" customHeight="1">
      <c r="B75" s="233"/>
      <c r="C75" s="306" t="s">
        <v>119</v>
      </c>
      <c r="D75" s="238">
        <v>20321</v>
      </c>
      <c r="E75" s="238">
        <v>3</v>
      </c>
      <c r="F75" s="251">
        <v>0.93700000000000006</v>
      </c>
      <c r="G75" s="251">
        <v>0</v>
      </c>
      <c r="H75" s="251">
        <v>0</v>
      </c>
      <c r="I75" s="252">
        <v>3.19</v>
      </c>
      <c r="J75" s="252">
        <v>0</v>
      </c>
      <c r="K75" s="252">
        <v>0</v>
      </c>
      <c r="L75" s="251">
        <v>0</v>
      </c>
      <c r="M75" s="238"/>
      <c r="N75" s="236"/>
    </row>
    <row r="76" spans="2:14" ht="27" customHeight="1">
      <c r="B76" s="233"/>
      <c r="C76" s="306" t="s">
        <v>122</v>
      </c>
      <c r="D76" s="238">
        <v>20322</v>
      </c>
      <c r="E76" s="238">
        <v>4</v>
      </c>
      <c r="F76" s="251">
        <v>1.014</v>
      </c>
      <c r="G76" s="251">
        <v>0.54500000000000004</v>
      </c>
      <c r="H76" s="251">
        <v>0</v>
      </c>
      <c r="I76" s="252">
        <v>3.19</v>
      </c>
      <c r="J76" s="252">
        <v>0</v>
      </c>
      <c r="K76" s="252">
        <v>0</v>
      </c>
      <c r="L76" s="251">
        <v>0</v>
      </c>
      <c r="M76" s="238"/>
      <c r="N76" s="236"/>
    </row>
    <row r="77" spans="2:14" ht="27" customHeight="1">
      <c r="B77" s="233"/>
      <c r="C77" s="306" t="s">
        <v>125</v>
      </c>
      <c r="D77" s="238">
        <v>20323</v>
      </c>
      <c r="E77" s="238">
        <v>4</v>
      </c>
      <c r="F77" s="251">
        <v>0.54300000000000004</v>
      </c>
      <c r="G77" s="251">
        <v>0</v>
      </c>
      <c r="H77" s="251">
        <v>0</v>
      </c>
      <c r="I77" s="252">
        <v>0</v>
      </c>
      <c r="J77" s="252">
        <v>0</v>
      </c>
      <c r="K77" s="252">
        <v>0</v>
      </c>
      <c r="L77" s="251">
        <v>0</v>
      </c>
      <c r="M77" s="238"/>
      <c r="N77" s="236"/>
    </row>
    <row r="78" spans="2:14" ht="27" customHeight="1">
      <c r="B78" s="233"/>
      <c r="C78" s="306" t="s">
        <v>128</v>
      </c>
      <c r="D78" s="238">
        <v>20324</v>
      </c>
      <c r="E78" s="238" t="s">
        <v>929</v>
      </c>
      <c r="F78" s="251">
        <v>0.96</v>
      </c>
      <c r="G78" s="251">
        <v>0.53500000000000003</v>
      </c>
      <c r="H78" s="251">
        <v>0</v>
      </c>
      <c r="I78" s="252">
        <v>14.16</v>
      </c>
      <c r="J78" s="252">
        <v>0</v>
      </c>
      <c r="K78" s="252">
        <v>0</v>
      </c>
      <c r="L78" s="251">
        <v>0</v>
      </c>
      <c r="M78" s="238"/>
      <c r="N78" s="236"/>
    </row>
    <row r="79" spans="2:14" ht="27" customHeight="1">
      <c r="B79" s="233"/>
      <c r="C79" s="306" t="s">
        <v>1172</v>
      </c>
      <c r="D79" s="238">
        <v>20325</v>
      </c>
      <c r="E79" s="238"/>
      <c r="F79" s="251">
        <v>5.2960000000000003</v>
      </c>
      <c r="G79" s="251">
        <v>0.68799999999999994</v>
      </c>
      <c r="H79" s="251">
        <v>0.54100000000000004</v>
      </c>
      <c r="I79" s="252">
        <v>1.97</v>
      </c>
      <c r="J79" s="252">
        <v>0</v>
      </c>
      <c r="K79" s="252">
        <v>0</v>
      </c>
      <c r="L79" s="251">
        <v>0</v>
      </c>
      <c r="M79" s="238"/>
      <c r="N79" s="236"/>
    </row>
    <row r="80" spans="2:14" ht="27" customHeight="1">
      <c r="B80" s="233"/>
      <c r="C80" s="306" t="s">
        <v>1171</v>
      </c>
      <c r="D80" s="238">
        <v>20326</v>
      </c>
      <c r="E80" s="238"/>
      <c r="F80" s="251">
        <v>5.391</v>
      </c>
      <c r="G80" s="251">
        <v>0.69299999999999995</v>
      </c>
      <c r="H80" s="251">
        <v>0.54200000000000004</v>
      </c>
      <c r="I80" s="252">
        <v>3.19</v>
      </c>
      <c r="J80" s="252">
        <v>0</v>
      </c>
      <c r="K80" s="252">
        <v>0</v>
      </c>
      <c r="L80" s="251">
        <v>0</v>
      </c>
      <c r="M80" s="238"/>
      <c r="N80" s="236"/>
    </row>
    <row r="81" spans="2:14" ht="27" customHeight="1">
      <c r="B81" s="233"/>
      <c r="C81" s="306" t="s">
        <v>133</v>
      </c>
      <c r="D81" s="238">
        <v>20327</v>
      </c>
      <c r="E81" s="238"/>
      <c r="F81" s="251">
        <v>3.9329999999999998</v>
      </c>
      <c r="G81" s="251">
        <v>0.61599999999999999</v>
      </c>
      <c r="H81" s="251">
        <v>0.52500000000000002</v>
      </c>
      <c r="I81" s="252">
        <v>4.5</v>
      </c>
      <c r="J81" s="252">
        <v>1.1599999999999999</v>
      </c>
      <c r="K81" s="252">
        <v>2.65</v>
      </c>
      <c r="L81" s="251">
        <v>5.8000000000000003E-2</v>
      </c>
      <c r="M81" s="238"/>
      <c r="N81" s="236"/>
    </row>
    <row r="82" spans="2:14" ht="27" customHeight="1">
      <c r="B82" s="233"/>
      <c r="C82" s="306" t="s">
        <v>135</v>
      </c>
      <c r="D82" s="238">
        <v>20328</v>
      </c>
      <c r="E82" s="238"/>
      <c r="F82" s="251">
        <v>5.1760000000000002</v>
      </c>
      <c r="G82" s="251">
        <v>0.92500000000000004</v>
      </c>
      <c r="H82" s="251">
        <v>0.84199999999999997</v>
      </c>
      <c r="I82" s="252">
        <v>5.68</v>
      </c>
      <c r="J82" s="252">
        <v>2.04</v>
      </c>
      <c r="K82" s="252">
        <v>4.2</v>
      </c>
      <c r="L82" s="251">
        <v>6.7000000000000004E-2</v>
      </c>
      <c r="M82" s="238"/>
      <c r="N82" s="236"/>
    </row>
    <row r="83" spans="2:14" ht="27" customHeight="1">
      <c r="B83" s="233"/>
      <c r="C83" s="306" t="s">
        <v>137</v>
      </c>
      <c r="D83" s="238">
        <v>20329</v>
      </c>
      <c r="E83" s="238"/>
      <c r="F83" s="251">
        <v>4.7910000000000004</v>
      </c>
      <c r="G83" s="251">
        <v>1.0249999999999999</v>
      </c>
      <c r="H83" s="251">
        <v>0.98199999999999998</v>
      </c>
      <c r="I83" s="252">
        <v>66.89</v>
      </c>
      <c r="J83" s="252">
        <v>2.06</v>
      </c>
      <c r="K83" s="252">
        <v>5.0599999999999996</v>
      </c>
      <c r="L83" s="251">
        <v>5.2999999999999999E-2</v>
      </c>
      <c r="M83" s="238"/>
      <c r="N83" s="236"/>
    </row>
    <row r="84" spans="2:14" ht="27" customHeight="1">
      <c r="B84" s="233"/>
      <c r="C84" s="306" t="s">
        <v>140</v>
      </c>
      <c r="D84" s="238">
        <v>20330</v>
      </c>
      <c r="E84" s="238">
        <v>8</v>
      </c>
      <c r="F84" s="251">
        <v>1.1339999999999999</v>
      </c>
      <c r="G84" s="251">
        <v>0</v>
      </c>
      <c r="H84" s="251">
        <v>0</v>
      </c>
      <c r="I84" s="252">
        <v>0</v>
      </c>
      <c r="J84" s="252">
        <v>0</v>
      </c>
      <c r="K84" s="252">
        <v>0</v>
      </c>
      <c r="L84" s="251">
        <v>0</v>
      </c>
      <c r="M84" s="238"/>
      <c r="N84" s="236"/>
    </row>
    <row r="85" spans="2:14" ht="27" customHeight="1">
      <c r="B85" s="233"/>
      <c r="C85" s="306" t="s">
        <v>143</v>
      </c>
      <c r="D85" s="238">
        <v>20331</v>
      </c>
      <c r="E85" s="238">
        <v>1</v>
      </c>
      <c r="F85" s="251">
        <v>1.276</v>
      </c>
      <c r="G85" s="251">
        <v>0</v>
      </c>
      <c r="H85" s="251">
        <v>0</v>
      </c>
      <c r="I85" s="252">
        <v>0</v>
      </c>
      <c r="J85" s="252">
        <v>0</v>
      </c>
      <c r="K85" s="252">
        <v>0</v>
      </c>
      <c r="L85" s="251">
        <v>0</v>
      </c>
      <c r="M85" s="238"/>
      <c r="N85" s="236"/>
    </row>
    <row r="86" spans="2:14" ht="27" customHeight="1">
      <c r="B86" s="233"/>
      <c r="C86" s="306" t="s">
        <v>146</v>
      </c>
      <c r="D86" s="238">
        <v>20332</v>
      </c>
      <c r="E86" s="238">
        <v>1</v>
      </c>
      <c r="F86" s="251">
        <v>1.61</v>
      </c>
      <c r="G86" s="251">
        <v>0</v>
      </c>
      <c r="H86" s="251">
        <v>0</v>
      </c>
      <c r="I86" s="252">
        <v>0</v>
      </c>
      <c r="J86" s="252">
        <v>0</v>
      </c>
      <c r="K86" s="252">
        <v>0</v>
      </c>
      <c r="L86" s="251">
        <v>0</v>
      </c>
      <c r="M86" s="238"/>
      <c r="N86" s="236"/>
    </row>
    <row r="87" spans="2:14" ht="27" customHeight="1">
      <c r="B87" s="233"/>
      <c r="C87" s="306" t="s">
        <v>149</v>
      </c>
      <c r="D87" s="238">
        <v>20333</v>
      </c>
      <c r="E87" s="238">
        <v>1</v>
      </c>
      <c r="F87" s="251">
        <v>0.997</v>
      </c>
      <c r="G87" s="251">
        <v>0</v>
      </c>
      <c r="H87" s="251">
        <v>0</v>
      </c>
      <c r="I87" s="252">
        <v>0</v>
      </c>
      <c r="J87" s="252">
        <v>0</v>
      </c>
      <c r="K87" s="252">
        <v>0</v>
      </c>
      <c r="L87" s="251">
        <v>0</v>
      </c>
      <c r="M87" s="238"/>
      <c r="N87" s="236"/>
    </row>
    <row r="88" spans="2:14" ht="27" customHeight="1">
      <c r="B88" s="233"/>
      <c r="C88" s="306" t="s">
        <v>152</v>
      </c>
      <c r="D88" s="238">
        <v>20334</v>
      </c>
      <c r="E88" s="238"/>
      <c r="F88" s="251">
        <v>12.898</v>
      </c>
      <c r="G88" s="251">
        <v>1.0149999999999999</v>
      </c>
      <c r="H88" s="251">
        <v>0.85699999999999998</v>
      </c>
      <c r="I88" s="252">
        <v>0</v>
      </c>
      <c r="J88" s="252">
        <v>0</v>
      </c>
      <c r="K88" s="252">
        <v>0</v>
      </c>
      <c r="L88" s="251">
        <v>0</v>
      </c>
      <c r="M88" s="238"/>
      <c r="N88" s="236"/>
    </row>
    <row r="89" spans="2:14" ht="27" customHeight="1">
      <c r="B89" s="233"/>
      <c r="C89" s="306" t="s">
        <v>1170</v>
      </c>
      <c r="D89" s="238">
        <v>20335</v>
      </c>
      <c r="E89" s="238" t="s">
        <v>1169</v>
      </c>
      <c r="F89" s="251">
        <v>-0.69599999999999995</v>
      </c>
      <c r="G89" s="251">
        <v>0</v>
      </c>
      <c r="H89" s="251">
        <v>0</v>
      </c>
      <c r="I89" s="252">
        <v>0</v>
      </c>
      <c r="J89" s="252">
        <v>0</v>
      </c>
      <c r="K89" s="252">
        <v>0</v>
      </c>
      <c r="L89" s="251">
        <v>0</v>
      </c>
      <c r="M89" s="238"/>
      <c r="N89" s="236"/>
    </row>
    <row r="90" spans="2:14" ht="27" customHeight="1">
      <c r="B90" s="233"/>
      <c r="C90" s="306" t="s">
        <v>154</v>
      </c>
      <c r="D90" s="238">
        <v>20336</v>
      </c>
      <c r="E90" s="238">
        <v>8</v>
      </c>
      <c r="F90" s="251">
        <v>-0.629</v>
      </c>
      <c r="G90" s="251">
        <v>0</v>
      </c>
      <c r="H90" s="251">
        <v>0</v>
      </c>
      <c r="I90" s="252">
        <v>0</v>
      </c>
      <c r="J90" s="252">
        <v>0</v>
      </c>
      <c r="K90" s="252">
        <v>0</v>
      </c>
      <c r="L90" s="251">
        <v>0</v>
      </c>
      <c r="M90" s="238"/>
      <c r="N90" s="236"/>
    </row>
    <row r="91" spans="2:14" ht="27" customHeight="1">
      <c r="B91" s="233"/>
      <c r="C91" s="306" t="s">
        <v>157</v>
      </c>
      <c r="D91" s="238">
        <v>20337</v>
      </c>
      <c r="E91" s="238"/>
      <c r="F91" s="251">
        <v>-0.69599999999999995</v>
      </c>
      <c r="G91" s="251">
        <v>0</v>
      </c>
      <c r="H91" s="251">
        <v>0</v>
      </c>
      <c r="I91" s="252">
        <v>0</v>
      </c>
      <c r="J91" s="252">
        <v>0</v>
      </c>
      <c r="K91" s="252">
        <v>0</v>
      </c>
      <c r="L91" s="251">
        <v>0.151</v>
      </c>
      <c r="M91" s="238"/>
      <c r="N91" s="236"/>
    </row>
    <row r="92" spans="2:14" ht="27" customHeight="1">
      <c r="B92" s="233"/>
      <c r="C92" s="306" t="s">
        <v>160</v>
      </c>
      <c r="D92" s="238">
        <v>20338</v>
      </c>
      <c r="E92" s="238"/>
      <c r="F92" s="251">
        <v>-8.5429999999999993</v>
      </c>
      <c r="G92" s="251">
        <v>-0.35399999999999998</v>
      </c>
      <c r="H92" s="251">
        <v>-9.1999999999999998E-2</v>
      </c>
      <c r="I92" s="252">
        <v>0</v>
      </c>
      <c r="J92" s="252">
        <v>0</v>
      </c>
      <c r="K92" s="252">
        <v>0</v>
      </c>
      <c r="L92" s="251">
        <v>0.151</v>
      </c>
      <c r="M92" s="238"/>
      <c r="N92" s="236"/>
    </row>
    <row r="93" spans="2:14" ht="27" customHeight="1">
      <c r="B93" s="233"/>
      <c r="C93" s="306" t="s">
        <v>162</v>
      </c>
      <c r="D93" s="238">
        <v>20339</v>
      </c>
      <c r="E93" s="238"/>
      <c r="F93" s="251">
        <v>-0.629</v>
      </c>
      <c r="G93" s="251">
        <v>0</v>
      </c>
      <c r="H93" s="251">
        <v>0</v>
      </c>
      <c r="I93" s="252">
        <v>0</v>
      </c>
      <c r="J93" s="252">
        <v>0</v>
      </c>
      <c r="K93" s="252">
        <v>0</v>
      </c>
      <c r="L93" s="251">
        <v>0.126</v>
      </c>
      <c r="M93" s="238"/>
      <c r="N93" s="236"/>
    </row>
    <row r="94" spans="2:14" ht="27" customHeight="1">
      <c r="B94" s="233"/>
      <c r="C94" s="306" t="s">
        <v>164</v>
      </c>
      <c r="D94" s="238">
        <v>20340</v>
      </c>
      <c r="E94" s="238"/>
      <c r="F94" s="251">
        <v>-7.8440000000000003</v>
      </c>
      <c r="G94" s="251">
        <v>-0.30299999999999999</v>
      </c>
      <c r="H94" s="251">
        <v>-8.2000000000000003E-2</v>
      </c>
      <c r="I94" s="252">
        <v>0</v>
      </c>
      <c r="J94" s="252">
        <v>0</v>
      </c>
      <c r="K94" s="252">
        <v>0</v>
      </c>
      <c r="L94" s="251">
        <v>0.126</v>
      </c>
      <c r="M94" s="238"/>
      <c r="N94" s="236"/>
    </row>
    <row r="95" spans="2:14" ht="27" customHeight="1">
      <c r="B95" s="233"/>
      <c r="C95" s="306" t="s">
        <v>166</v>
      </c>
      <c r="D95" s="238">
        <v>20341</v>
      </c>
      <c r="E95" s="238"/>
      <c r="F95" s="251">
        <v>-0.4</v>
      </c>
      <c r="G95" s="251">
        <v>0</v>
      </c>
      <c r="H95" s="251">
        <v>0</v>
      </c>
      <c r="I95" s="252">
        <v>0</v>
      </c>
      <c r="J95" s="252">
        <v>0</v>
      </c>
      <c r="K95" s="252">
        <v>0</v>
      </c>
      <c r="L95" s="251">
        <v>9.6000000000000002E-2</v>
      </c>
      <c r="M95" s="238"/>
      <c r="N95" s="236"/>
    </row>
    <row r="96" spans="2:14" ht="27" customHeight="1">
      <c r="B96" s="233"/>
      <c r="C96" s="306" t="s">
        <v>168</v>
      </c>
      <c r="D96" s="238">
        <v>20342</v>
      </c>
      <c r="E96" s="238"/>
      <c r="F96" s="251">
        <v>-5.4420000000000002</v>
      </c>
      <c r="G96" s="251">
        <v>-0.13200000000000001</v>
      </c>
      <c r="H96" s="251">
        <v>-4.5999999999999999E-2</v>
      </c>
      <c r="I96" s="252">
        <v>0</v>
      </c>
      <c r="J96" s="252">
        <v>0</v>
      </c>
      <c r="K96" s="252">
        <v>0</v>
      </c>
      <c r="L96" s="251">
        <v>9.6000000000000002E-2</v>
      </c>
      <c r="M96" s="238"/>
      <c r="N96" s="236"/>
    </row>
    <row r="97" spans="2:14" ht="27" customHeight="1" thickBot="1">
      <c r="B97" s="239"/>
      <c r="C97" s="240"/>
      <c r="D97" s="240"/>
      <c r="E97" s="240"/>
      <c r="F97" s="240"/>
      <c r="G97" s="240"/>
      <c r="H97" s="240"/>
      <c r="I97" s="240"/>
      <c r="J97" s="240"/>
      <c r="K97" s="240"/>
      <c r="L97" s="240"/>
      <c r="M97" s="240"/>
      <c r="N97" s="241"/>
    </row>
    <row r="98" spans="2:14" ht="27" customHeight="1"/>
    <row r="99" spans="2:14" ht="27" customHeight="1"/>
    <row r="100" spans="2:14" ht="27" customHeight="1" thickBot="1"/>
    <row r="101" spans="2:14" ht="27" customHeight="1">
      <c r="B101" s="229"/>
      <c r="C101" s="230"/>
      <c r="D101" s="231"/>
      <c r="E101" s="231"/>
      <c r="F101" s="231"/>
      <c r="G101" s="231"/>
      <c r="H101" s="231"/>
      <c r="I101" s="231"/>
      <c r="J101" s="231"/>
      <c r="K101" s="231"/>
      <c r="L101" s="231"/>
      <c r="M101" s="231"/>
      <c r="N101" s="232"/>
    </row>
    <row r="102" spans="2:14" ht="27" customHeight="1">
      <c r="B102" s="233"/>
      <c r="C102" s="234" t="str">
        <f>"Tariffs for Charging Year: "&amp; " "&amp;D7&amp;""</f>
        <v>Tariffs for Charging Year:  2019/20</v>
      </c>
      <c r="D102" s="234"/>
      <c r="E102" s="234"/>
      <c r="F102" s="234"/>
      <c r="G102" s="234"/>
      <c r="H102" s="234"/>
      <c r="I102" s="235"/>
      <c r="J102" s="235"/>
      <c r="K102" s="235"/>
      <c r="L102" s="235"/>
      <c r="M102" s="235"/>
      <c r="N102" s="236"/>
    </row>
    <row r="103" spans="2:14" ht="27" customHeight="1">
      <c r="B103" s="233"/>
      <c r="C103" s="220"/>
      <c r="D103" s="235"/>
      <c r="E103" s="235"/>
      <c r="F103" s="235"/>
      <c r="G103" s="235"/>
      <c r="H103" s="235"/>
      <c r="I103" s="235"/>
      <c r="J103" s="235"/>
      <c r="K103" s="235"/>
      <c r="L103" s="235"/>
      <c r="M103" s="235"/>
      <c r="N103" s="236"/>
    </row>
    <row r="104" spans="2:14" ht="27" customHeight="1">
      <c r="B104" s="233"/>
      <c r="C104" s="220"/>
      <c r="D104" s="235"/>
      <c r="E104" s="235"/>
      <c r="F104" s="235"/>
      <c r="G104" s="235"/>
      <c r="H104" s="235"/>
      <c r="I104" s="235"/>
      <c r="J104" s="235"/>
      <c r="K104" s="235"/>
      <c r="L104" s="235"/>
      <c r="M104" s="235"/>
      <c r="N104" s="236"/>
    </row>
    <row r="105" spans="2:14" ht="27" customHeight="1">
      <c r="B105" s="233"/>
      <c r="C105" s="237"/>
      <c r="D105" s="209" t="s">
        <v>926</v>
      </c>
      <c r="E105" s="209" t="s">
        <v>927</v>
      </c>
      <c r="F105" s="209" t="s">
        <v>858</v>
      </c>
      <c r="G105" s="209" t="s">
        <v>859</v>
      </c>
      <c r="H105" s="209" t="s">
        <v>860</v>
      </c>
      <c r="I105" s="209" t="s">
        <v>861</v>
      </c>
      <c r="J105" s="209" t="s">
        <v>862</v>
      </c>
      <c r="K105" s="209" t="s">
        <v>1515</v>
      </c>
      <c r="L105" s="209" t="s">
        <v>720</v>
      </c>
      <c r="M105" s="209" t="s">
        <v>928</v>
      </c>
      <c r="N105" s="236"/>
    </row>
    <row r="106" spans="2:14" ht="27" customHeight="1">
      <c r="B106" s="233"/>
      <c r="C106" s="306" t="s">
        <v>54</v>
      </c>
      <c r="D106" s="238" t="s">
        <v>1764</v>
      </c>
      <c r="E106" s="238">
        <v>1</v>
      </c>
      <c r="F106" s="251">
        <v>2.8220000000000001</v>
      </c>
      <c r="G106" s="251">
        <v>0</v>
      </c>
      <c r="H106" s="251">
        <v>0</v>
      </c>
      <c r="I106" s="252">
        <v>5.33</v>
      </c>
      <c r="J106" s="252">
        <v>0</v>
      </c>
      <c r="K106" s="252">
        <v>0</v>
      </c>
      <c r="L106" s="251">
        <v>0</v>
      </c>
      <c r="M106" s="238"/>
      <c r="N106" s="236"/>
    </row>
    <row r="107" spans="2:14" ht="27" customHeight="1">
      <c r="B107" s="233"/>
      <c r="C107" s="306" t="s">
        <v>55</v>
      </c>
      <c r="D107" s="238" t="s">
        <v>1765</v>
      </c>
      <c r="E107" s="238">
        <v>2</v>
      </c>
      <c r="F107" s="251">
        <v>3.173</v>
      </c>
      <c r="G107" s="251">
        <v>1.516</v>
      </c>
      <c r="H107" s="251">
        <v>0</v>
      </c>
      <c r="I107" s="252">
        <v>5.33</v>
      </c>
      <c r="J107" s="252">
        <v>0</v>
      </c>
      <c r="K107" s="252">
        <v>0</v>
      </c>
      <c r="L107" s="251">
        <v>0</v>
      </c>
      <c r="M107" s="238"/>
      <c r="N107" s="236"/>
    </row>
    <row r="108" spans="2:14" ht="27" customHeight="1">
      <c r="B108" s="233"/>
      <c r="C108" s="306" t="s">
        <v>91</v>
      </c>
      <c r="D108" s="238">
        <v>430</v>
      </c>
      <c r="E108" s="238">
        <v>2</v>
      </c>
      <c r="F108" s="251">
        <v>1.496</v>
      </c>
      <c r="G108" s="251">
        <v>0</v>
      </c>
      <c r="H108" s="251">
        <v>0</v>
      </c>
      <c r="I108" s="252">
        <v>0</v>
      </c>
      <c r="J108" s="252">
        <v>0</v>
      </c>
      <c r="K108" s="252">
        <v>0</v>
      </c>
      <c r="L108" s="251">
        <v>0</v>
      </c>
      <c r="M108" s="238"/>
      <c r="N108" s="236"/>
    </row>
    <row r="109" spans="2:14" ht="27" customHeight="1">
      <c r="B109" s="233"/>
      <c r="C109" s="306" t="s">
        <v>56</v>
      </c>
      <c r="D109" s="238">
        <v>110</v>
      </c>
      <c r="E109" s="238">
        <v>3</v>
      </c>
      <c r="F109" s="251">
        <v>2.5750000000000002</v>
      </c>
      <c r="G109" s="251">
        <v>0</v>
      </c>
      <c r="H109" s="251">
        <v>0</v>
      </c>
      <c r="I109" s="252">
        <v>8.6199999999999992</v>
      </c>
      <c r="J109" s="252">
        <v>0</v>
      </c>
      <c r="K109" s="252">
        <v>0</v>
      </c>
      <c r="L109" s="251">
        <v>0</v>
      </c>
      <c r="M109" s="238"/>
      <c r="N109" s="236"/>
    </row>
    <row r="110" spans="2:14" ht="27" customHeight="1">
      <c r="B110" s="233"/>
      <c r="C110" s="306" t="s">
        <v>57</v>
      </c>
      <c r="D110" s="238">
        <v>210</v>
      </c>
      <c r="E110" s="238">
        <v>4</v>
      </c>
      <c r="F110" s="251">
        <v>2.7829999999999999</v>
      </c>
      <c r="G110" s="251">
        <v>1.51</v>
      </c>
      <c r="H110" s="251">
        <v>0</v>
      </c>
      <c r="I110" s="252">
        <v>8.6199999999999992</v>
      </c>
      <c r="J110" s="252">
        <v>0</v>
      </c>
      <c r="K110" s="252">
        <v>0</v>
      </c>
      <c r="L110" s="251">
        <v>0</v>
      </c>
      <c r="M110" s="238"/>
      <c r="N110" s="236"/>
    </row>
    <row r="111" spans="2:14" ht="27" customHeight="1">
      <c r="B111" s="233"/>
      <c r="C111" s="306" t="s">
        <v>92</v>
      </c>
      <c r="D111" s="238">
        <v>251</v>
      </c>
      <c r="E111" s="238">
        <v>4</v>
      </c>
      <c r="F111" s="251">
        <v>1.504</v>
      </c>
      <c r="G111" s="251">
        <v>0</v>
      </c>
      <c r="H111" s="251">
        <v>0</v>
      </c>
      <c r="I111" s="252">
        <v>0</v>
      </c>
      <c r="J111" s="252">
        <v>0</v>
      </c>
      <c r="K111" s="252">
        <v>0</v>
      </c>
      <c r="L111" s="251">
        <v>0</v>
      </c>
      <c r="M111" s="238"/>
      <c r="N111" s="236"/>
    </row>
    <row r="112" spans="2:14" ht="27" customHeight="1">
      <c r="B112" s="233"/>
      <c r="C112" s="306" t="s">
        <v>58</v>
      </c>
      <c r="D112" s="238">
        <v>570</v>
      </c>
      <c r="E112" s="238" t="s">
        <v>929</v>
      </c>
      <c r="F112" s="251">
        <v>2.637</v>
      </c>
      <c r="G112" s="251">
        <v>1.484</v>
      </c>
      <c r="H112" s="251">
        <v>0</v>
      </c>
      <c r="I112" s="252">
        <v>38.270000000000003</v>
      </c>
      <c r="J112" s="252">
        <v>0</v>
      </c>
      <c r="K112" s="252">
        <v>0</v>
      </c>
      <c r="L112" s="251">
        <v>0</v>
      </c>
      <c r="M112" s="238"/>
      <c r="N112" s="236"/>
    </row>
    <row r="113" spans="2:14" ht="27" customHeight="1">
      <c r="B113" s="233"/>
      <c r="C113" s="306" t="s">
        <v>59</v>
      </c>
      <c r="D113" s="238">
        <v>540</v>
      </c>
      <c r="E113" s="238" t="s">
        <v>929</v>
      </c>
      <c r="F113" s="251">
        <v>2.5049999999999999</v>
      </c>
      <c r="G113" s="251">
        <v>1.47</v>
      </c>
      <c r="H113" s="251">
        <v>0</v>
      </c>
      <c r="I113" s="252">
        <v>26.53</v>
      </c>
      <c r="J113" s="252">
        <v>0</v>
      </c>
      <c r="K113" s="252">
        <v>0</v>
      </c>
      <c r="L113" s="251">
        <v>0</v>
      </c>
      <c r="M113" s="238"/>
      <c r="N113" s="236"/>
    </row>
    <row r="114" spans="2:14" ht="27" customHeight="1">
      <c r="B114" s="233"/>
      <c r="C114" s="306" t="s">
        <v>72</v>
      </c>
      <c r="D114" s="238">
        <v>510</v>
      </c>
      <c r="E114" s="238" t="s">
        <v>929</v>
      </c>
      <c r="F114" s="251">
        <v>2.0350000000000001</v>
      </c>
      <c r="G114" s="251">
        <v>1.415</v>
      </c>
      <c r="H114" s="251">
        <v>0</v>
      </c>
      <c r="I114" s="252">
        <v>177.96</v>
      </c>
      <c r="J114" s="252">
        <v>0</v>
      </c>
      <c r="K114" s="252">
        <v>0</v>
      </c>
      <c r="L114" s="251">
        <v>0</v>
      </c>
      <c r="M114" s="238"/>
      <c r="N114" s="236"/>
    </row>
    <row r="115" spans="2:14" ht="27" customHeight="1">
      <c r="B115" s="233"/>
      <c r="C115" s="306" t="s">
        <v>1178</v>
      </c>
      <c r="D115" s="238">
        <v>202</v>
      </c>
      <c r="E115" s="238"/>
      <c r="F115" s="251">
        <v>14.417999999999999</v>
      </c>
      <c r="G115" s="251">
        <v>1.899</v>
      </c>
      <c r="H115" s="251">
        <v>1.502</v>
      </c>
      <c r="I115" s="252">
        <v>5.33</v>
      </c>
      <c r="J115" s="252">
        <v>0</v>
      </c>
      <c r="K115" s="252">
        <v>0</v>
      </c>
      <c r="L115" s="251">
        <v>0</v>
      </c>
      <c r="M115" s="238"/>
      <c r="N115" s="236"/>
    </row>
    <row r="116" spans="2:14" ht="27" customHeight="1">
      <c r="B116" s="233"/>
      <c r="C116" s="306" t="s">
        <v>1177</v>
      </c>
      <c r="D116" s="238">
        <v>203</v>
      </c>
      <c r="E116" s="238"/>
      <c r="F116" s="251">
        <v>14.676</v>
      </c>
      <c r="G116" s="251">
        <v>1.909</v>
      </c>
      <c r="H116" s="251">
        <v>1.504</v>
      </c>
      <c r="I116" s="252">
        <v>8.6199999999999992</v>
      </c>
      <c r="J116" s="252">
        <v>0</v>
      </c>
      <c r="K116" s="252">
        <v>0</v>
      </c>
      <c r="L116" s="251">
        <v>0</v>
      </c>
      <c r="M116" s="238"/>
      <c r="N116" s="236"/>
    </row>
    <row r="117" spans="2:14" ht="27" customHeight="1">
      <c r="B117" s="233"/>
      <c r="C117" s="306" t="s">
        <v>60</v>
      </c>
      <c r="D117" s="238">
        <v>570</v>
      </c>
      <c r="E117" s="238"/>
      <c r="F117" s="251">
        <v>10.721</v>
      </c>
      <c r="G117" s="251">
        <v>1.704</v>
      </c>
      <c r="H117" s="251">
        <v>1.456</v>
      </c>
      <c r="I117" s="252">
        <v>12.15</v>
      </c>
      <c r="J117" s="252">
        <v>3.14</v>
      </c>
      <c r="K117" s="252">
        <v>7.16</v>
      </c>
      <c r="L117" s="251">
        <v>0.156</v>
      </c>
      <c r="M117" s="238"/>
      <c r="N117" s="236"/>
    </row>
    <row r="118" spans="2:14" ht="27" customHeight="1">
      <c r="B118" s="233"/>
      <c r="C118" s="306" t="s">
        <v>61</v>
      </c>
      <c r="D118" s="238">
        <v>540</v>
      </c>
      <c r="E118" s="238"/>
      <c r="F118" s="251">
        <v>8.6219999999999999</v>
      </c>
      <c r="G118" s="251">
        <v>1.5620000000000001</v>
      </c>
      <c r="H118" s="251">
        <v>1.4259999999999999</v>
      </c>
      <c r="I118" s="252">
        <v>9.36</v>
      </c>
      <c r="J118" s="252">
        <v>3.37</v>
      </c>
      <c r="K118" s="252">
        <v>6.92</v>
      </c>
      <c r="L118" s="251">
        <v>0.111</v>
      </c>
      <c r="M118" s="238"/>
      <c r="N118" s="236"/>
    </row>
    <row r="119" spans="2:14" ht="27" customHeight="1">
      <c r="B119" s="233"/>
      <c r="C119" s="306" t="s">
        <v>73</v>
      </c>
      <c r="D119" s="238">
        <v>510</v>
      </c>
      <c r="E119" s="238"/>
      <c r="F119" s="251">
        <v>6.7439999999999998</v>
      </c>
      <c r="G119" s="251">
        <v>1.462</v>
      </c>
      <c r="H119" s="251">
        <v>1.4019999999999999</v>
      </c>
      <c r="I119" s="252">
        <v>92.88</v>
      </c>
      <c r="J119" s="252">
        <v>2.86</v>
      </c>
      <c r="K119" s="252">
        <v>7.02</v>
      </c>
      <c r="L119" s="251">
        <v>7.4999999999999997E-2</v>
      </c>
      <c r="M119" s="238"/>
      <c r="N119" s="236"/>
    </row>
    <row r="120" spans="2:14" ht="27" customHeight="1">
      <c r="B120" s="233"/>
      <c r="C120" s="306" t="s">
        <v>93</v>
      </c>
      <c r="D120" s="238">
        <v>977</v>
      </c>
      <c r="E120" s="238">
        <v>8</v>
      </c>
      <c r="F120" s="251">
        <v>3.1040000000000001</v>
      </c>
      <c r="G120" s="251">
        <v>0</v>
      </c>
      <c r="H120" s="251">
        <v>0</v>
      </c>
      <c r="I120" s="252">
        <v>0</v>
      </c>
      <c r="J120" s="252">
        <v>0</v>
      </c>
      <c r="K120" s="252">
        <v>0</v>
      </c>
      <c r="L120" s="251">
        <v>0</v>
      </c>
      <c r="M120" s="238"/>
      <c r="N120" s="236"/>
    </row>
    <row r="121" spans="2:14" ht="27" customHeight="1">
      <c r="B121" s="233"/>
      <c r="C121" s="306" t="s">
        <v>94</v>
      </c>
      <c r="D121" s="238">
        <v>980</v>
      </c>
      <c r="E121" s="238">
        <v>1</v>
      </c>
      <c r="F121" s="251">
        <v>3.49</v>
      </c>
      <c r="G121" s="251">
        <v>0</v>
      </c>
      <c r="H121" s="251">
        <v>0</v>
      </c>
      <c r="I121" s="252">
        <v>0</v>
      </c>
      <c r="J121" s="252">
        <v>0</v>
      </c>
      <c r="K121" s="252">
        <v>0</v>
      </c>
      <c r="L121" s="251">
        <v>0</v>
      </c>
      <c r="M121" s="238"/>
      <c r="N121" s="236"/>
    </row>
    <row r="122" spans="2:14" ht="27" customHeight="1">
      <c r="B122" s="233"/>
      <c r="C122" s="306" t="s">
        <v>95</v>
      </c>
      <c r="D122" s="238">
        <v>978</v>
      </c>
      <c r="E122" s="238">
        <v>1</v>
      </c>
      <c r="F122" s="251">
        <v>4.3949999999999996</v>
      </c>
      <c r="G122" s="251">
        <v>0</v>
      </c>
      <c r="H122" s="251">
        <v>0</v>
      </c>
      <c r="I122" s="252">
        <v>0</v>
      </c>
      <c r="J122" s="252">
        <v>0</v>
      </c>
      <c r="K122" s="252">
        <v>0</v>
      </c>
      <c r="L122" s="251">
        <v>0</v>
      </c>
      <c r="M122" s="238"/>
      <c r="N122" s="236"/>
    </row>
    <row r="123" spans="2:14" ht="27" customHeight="1">
      <c r="B123" s="233"/>
      <c r="C123" s="306" t="s">
        <v>96</v>
      </c>
      <c r="D123" s="238">
        <v>979</v>
      </c>
      <c r="E123" s="238">
        <v>1</v>
      </c>
      <c r="F123" s="251">
        <v>2.73</v>
      </c>
      <c r="G123" s="251">
        <v>0</v>
      </c>
      <c r="H123" s="251">
        <v>0</v>
      </c>
      <c r="I123" s="252">
        <v>0</v>
      </c>
      <c r="J123" s="252">
        <v>0</v>
      </c>
      <c r="K123" s="252">
        <v>0</v>
      </c>
      <c r="L123" s="251">
        <v>0</v>
      </c>
      <c r="M123" s="238"/>
      <c r="N123" s="236"/>
    </row>
    <row r="124" spans="2:14" ht="27" customHeight="1">
      <c r="B124" s="233"/>
      <c r="C124" s="306" t="s">
        <v>97</v>
      </c>
      <c r="D124" s="238">
        <v>970</v>
      </c>
      <c r="E124" s="238"/>
      <c r="F124" s="251">
        <v>35.040999999999997</v>
      </c>
      <c r="G124" s="251">
        <v>2.778</v>
      </c>
      <c r="H124" s="251">
        <v>2.351</v>
      </c>
      <c r="I124" s="252">
        <v>0</v>
      </c>
      <c r="J124" s="252">
        <v>0</v>
      </c>
      <c r="K124" s="252">
        <v>0</v>
      </c>
      <c r="L124" s="251">
        <v>0</v>
      </c>
      <c r="M124" s="238"/>
      <c r="N124" s="236"/>
    </row>
    <row r="125" spans="2:14" ht="27" customHeight="1">
      <c r="B125" s="233"/>
      <c r="C125" s="306" t="s">
        <v>1176</v>
      </c>
      <c r="D125" s="238">
        <v>581</v>
      </c>
      <c r="E125" s="238" t="s">
        <v>1169</v>
      </c>
      <c r="F125" s="251">
        <v>-0.72</v>
      </c>
      <c r="G125" s="251">
        <v>0</v>
      </c>
      <c r="H125" s="251">
        <v>0</v>
      </c>
      <c r="I125" s="252">
        <v>0</v>
      </c>
      <c r="J125" s="252">
        <v>0</v>
      </c>
      <c r="K125" s="252">
        <v>0</v>
      </c>
      <c r="L125" s="251">
        <v>0</v>
      </c>
      <c r="M125" s="238"/>
      <c r="N125" s="236"/>
    </row>
    <row r="126" spans="2:14" ht="27" customHeight="1">
      <c r="B126" s="233"/>
      <c r="C126" s="306" t="s">
        <v>62</v>
      </c>
      <c r="D126" s="238">
        <v>551</v>
      </c>
      <c r="E126" s="238">
        <v>8</v>
      </c>
      <c r="F126" s="251">
        <v>-0.65100000000000002</v>
      </c>
      <c r="G126" s="251">
        <v>0</v>
      </c>
      <c r="H126" s="251">
        <v>0</v>
      </c>
      <c r="I126" s="252">
        <v>0</v>
      </c>
      <c r="J126" s="252">
        <v>0</v>
      </c>
      <c r="K126" s="252">
        <v>0</v>
      </c>
      <c r="L126" s="251">
        <v>0</v>
      </c>
      <c r="M126" s="238"/>
      <c r="N126" s="236"/>
    </row>
    <row r="127" spans="2:14" ht="27" customHeight="1">
      <c r="B127" s="233"/>
      <c r="C127" s="306" t="s">
        <v>63</v>
      </c>
      <c r="D127" s="238">
        <v>581</v>
      </c>
      <c r="E127" s="238"/>
      <c r="F127" s="251">
        <v>-0.72</v>
      </c>
      <c r="G127" s="251">
        <v>0</v>
      </c>
      <c r="H127" s="251">
        <v>0</v>
      </c>
      <c r="I127" s="252">
        <v>0</v>
      </c>
      <c r="J127" s="252">
        <v>0</v>
      </c>
      <c r="K127" s="252">
        <v>0</v>
      </c>
      <c r="L127" s="251">
        <v>0.156</v>
      </c>
      <c r="M127" s="238"/>
      <c r="N127" s="236"/>
    </row>
    <row r="128" spans="2:14" ht="27" customHeight="1">
      <c r="B128" s="233"/>
      <c r="C128" s="306" t="s">
        <v>1516</v>
      </c>
      <c r="D128" s="238" t="s">
        <v>1766</v>
      </c>
      <c r="E128" s="238"/>
      <c r="F128" s="251">
        <v>-0.72</v>
      </c>
      <c r="G128" s="251">
        <v>0</v>
      </c>
      <c r="H128" s="251">
        <v>0</v>
      </c>
      <c r="I128" s="252">
        <v>0</v>
      </c>
      <c r="J128" s="252">
        <v>0</v>
      </c>
      <c r="K128" s="252">
        <v>0</v>
      </c>
      <c r="L128" s="251">
        <v>0</v>
      </c>
      <c r="M128" s="238"/>
      <c r="N128" s="236"/>
    </row>
    <row r="129" spans="2:14" ht="27" customHeight="1">
      <c r="B129" s="233"/>
      <c r="C129" s="306" t="s">
        <v>64</v>
      </c>
      <c r="D129" s="238">
        <v>527</v>
      </c>
      <c r="E129" s="238"/>
      <c r="F129" s="251">
        <v>-8.8030000000000008</v>
      </c>
      <c r="G129" s="251">
        <v>-0.36299999999999999</v>
      </c>
      <c r="H129" s="251">
        <v>-9.5000000000000001E-2</v>
      </c>
      <c r="I129" s="252">
        <v>0</v>
      </c>
      <c r="J129" s="252">
        <v>0</v>
      </c>
      <c r="K129" s="252">
        <v>0</v>
      </c>
      <c r="L129" s="251">
        <v>0.156</v>
      </c>
      <c r="M129" s="238"/>
      <c r="N129" s="236"/>
    </row>
    <row r="130" spans="2:14" ht="27" customHeight="1">
      <c r="B130" s="233"/>
      <c r="C130" s="306" t="s">
        <v>1517</v>
      </c>
      <c r="D130" s="238" t="s">
        <v>1766</v>
      </c>
      <c r="E130" s="238"/>
      <c r="F130" s="251">
        <v>-8.8030000000000008</v>
      </c>
      <c r="G130" s="251">
        <v>-0.36299999999999999</v>
      </c>
      <c r="H130" s="251">
        <v>-9.5000000000000001E-2</v>
      </c>
      <c r="I130" s="252">
        <v>0</v>
      </c>
      <c r="J130" s="252">
        <v>0</v>
      </c>
      <c r="K130" s="252">
        <v>0</v>
      </c>
      <c r="L130" s="251">
        <v>0</v>
      </c>
      <c r="M130" s="238"/>
      <c r="N130" s="236"/>
    </row>
    <row r="131" spans="2:14" ht="27" customHeight="1">
      <c r="B131" s="233"/>
      <c r="C131" s="306" t="s">
        <v>65</v>
      </c>
      <c r="D131" s="238">
        <v>551</v>
      </c>
      <c r="E131" s="238"/>
      <c r="F131" s="251">
        <v>-0.65100000000000002</v>
      </c>
      <c r="G131" s="251">
        <v>0</v>
      </c>
      <c r="H131" s="251">
        <v>0</v>
      </c>
      <c r="I131" s="252">
        <v>0</v>
      </c>
      <c r="J131" s="252">
        <v>0</v>
      </c>
      <c r="K131" s="252">
        <v>0</v>
      </c>
      <c r="L131" s="251">
        <v>0.13</v>
      </c>
      <c r="M131" s="238"/>
      <c r="N131" s="236"/>
    </row>
    <row r="132" spans="2:14" ht="27" customHeight="1">
      <c r="B132" s="233"/>
      <c r="C132" s="306" t="s">
        <v>1518</v>
      </c>
      <c r="D132" s="238" t="s">
        <v>1766</v>
      </c>
      <c r="E132" s="238"/>
      <c r="F132" s="251">
        <v>-0.65100000000000002</v>
      </c>
      <c r="G132" s="251">
        <v>0</v>
      </c>
      <c r="H132" s="251">
        <v>0</v>
      </c>
      <c r="I132" s="252">
        <v>0</v>
      </c>
      <c r="J132" s="252">
        <v>0</v>
      </c>
      <c r="K132" s="252">
        <v>0</v>
      </c>
      <c r="L132" s="251">
        <v>0</v>
      </c>
      <c r="M132" s="238"/>
      <c r="N132" s="236"/>
    </row>
    <row r="133" spans="2:14" ht="27" customHeight="1">
      <c r="B133" s="233"/>
      <c r="C133" s="306" t="s">
        <v>66</v>
      </c>
      <c r="D133" s="238">
        <v>526</v>
      </c>
      <c r="E133" s="238"/>
      <c r="F133" s="251">
        <v>-8.0869999999999997</v>
      </c>
      <c r="G133" s="251">
        <v>-0.311</v>
      </c>
      <c r="H133" s="251">
        <v>-8.5000000000000006E-2</v>
      </c>
      <c r="I133" s="252">
        <v>0</v>
      </c>
      <c r="J133" s="252">
        <v>0</v>
      </c>
      <c r="K133" s="252">
        <v>0</v>
      </c>
      <c r="L133" s="251">
        <v>0.13</v>
      </c>
      <c r="M133" s="238"/>
      <c r="N133" s="236"/>
    </row>
    <row r="134" spans="2:14" ht="27" customHeight="1">
      <c r="B134" s="233"/>
      <c r="C134" s="306" t="s">
        <v>1519</v>
      </c>
      <c r="D134" s="238" t="s">
        <v>1766</v>
      </c>
      <c r="E134" s="238"/>
      <c r="F134" s="251">
        <v>-8.0869999999999997</v>
      </c>
      <c r="G134" s="251">
        <v>-0.311</v>
      </c>
      <c r="H134" s="251">
        <v>-8.5000000000000006E-2</v>
      </c>
      <c r="I134" s="252">
        <v>0</v>
      </c>
      <c r="J134" s="252">
        <v>0</v>
      </c>
      <c r="K134" s="252">
        <v>0</v>
      </c>
      <c r="L134" s="251">
        <v>0</v>
      </c>
      <c r="M134" s="238"/>
      <c r="N134" s="236"/>
    </row>
    <row r="135" spans="2:14" ht="27" customHeight="1">
      <c r="B135" s="233"/>
      <c r="C135" s="306" t="s">
        <v>74</v>
      </c>
      <c r="D135" s="238">
        <v>521</v>
      </c>
      <c r="E135" s="238"/>
      <c r="F135" s="251">
        <v>-0.41499999999999998</v>
      </c>
      <c r="G135" s="251">
        <v>0</v>
      </c>
      <c r="H135" s="251">
        <v>0</v>
      </c>
      <c r="I135" s="252">
        <v>44.78</v>
      </c>
      <c r="J135" s="252">
        <v>0</v>
      </c>
      <c r="K135" s="252">
        <v>0</v>
      </c>
      <c r="L135" s="251">
        <v>0.1</v>
      </c>
      <c r="M135" s="238"/>
      <c r="N135" s="236"/>
    </row>
    <row r="136" spans="2:14" ht="27" customHeight="1">
      <c r="B136" s="233"/>
      <c r="C136" s="306" t="s">
        <v>1520</v>
      </c>
      <c r="D136" s="238" t="s">
        <v>1766</v>
      </c>
      <c r="E136" s="238"/>
      <c r="F136" s="251">
        <v>-0.41499999999999998</v>
      </c>
      <c r="G136" s="251">
        <v>0</v>
      </c>
      <c r="H136" s="251">
        <v>0</v>
      </c>
      <c r="I136" s="252">
        <v>44.78</v>
      </c>
      <c r="J136" s="252">
        <v>0</v>
      </c>
      <c r="K136" s="252">
        <v>0</v>
      </c>
      <c r="L136" s="251">
        <v>0</v>
      </c>
      <c r="M136" s="238"/>
      <c r="N136" s="236"/>
    </row>
    <row r="137" spans="2:14" ht="27" customHeight="1">
      <c r="B137" s="233"/>
      <c r="C137" s="306" t="s">
        <v>75</v>
      </c>
      <c r="D137" s="238">
        <v>524</v>
      </c>
      <c r="E137" s="238"/>
      <c r="F137" s="251">
        <v>-5.625</v>
      </c>
      <c r="G137" s="251">
        <v>-0.13500000000000001</v>
      </c>
      <c r="H137" s="251">
        <v>-4.8000000000000001E-2</v>
      </c>
      <c r="I137" s="252">
        <v>44.78</v>
      </c>
      <c r="J137" s="252">
        <v>0</v>
      </c>
      <c r="K137" s="252">
        <v>0</v>
      </c>
      <c r="L137" s="251">
        <v>0.1</v>
      </c>
      <c r="M137" s="238"/>
      <c r="N137" s="236"/>
    </row>
    <row r="138" spans="2:14" ht="27" customHeight="1">
      <c r="B138" s="233"/>
      <c r="C138" s="306" t="s">
        <v>1521</v>
      </c>
      <c r="D138" s="238" t="s">
        <v>1766</v>
      </c>
      <c r="E138" s="238"/>
      <c r="F138" s="251">
        <v>-5.625</v>
      </c>
      <c r="G138" s="251">
        <v>-0.13500000000000001</v>
      </c>
      <c r="H138" s="251">
        <v>-4.8000000000000001E-2</v>
      </c>
      <c r="I138" s="252">
        <v>44.78</v>
      </c>
      <c r="J138" s="252">
        <v>0</v>
      </c>
      <c r="K138" s="252">
        <v>0</v>
      </c>
      <c r="L138" s="251">
        <v>0</v>
      </c>
      <c r="M138" s="238"/>
      <c r="N138" s="236"/>
    </row>
    <row r="139" spans="2:14" ht="27" customHeight="1">
      <c r="B139" s="233"/>
      <c r="C139" s="306" t="s">
        <v>109</v>
      </c>
      <c r="D139" s="238">
        <v>20300</v>
      </c>
      <c r="E139" s="238">
        <v>1</v>
      </c>
      <c r="F139" s="251">
        <v>1.77</v>
      </c>
      <c r="G139" s="251">
        <v>0</v>
      </c>
      <c r="H139" s="251">
        <v>0</v>
      </c>
      <c r="I139" s="252">
        <v>3.34</v>
      </c>
      <c r="J139" s="252">
        <v>0</v>
      </c>
      <c r="K139" s="252">
        <v>0</v>
      </c>
      <c r="L139" s="251">
        <v>0</v>
      </c>
      <c r="M139" s="238"/>
      <c r="N139" s="236"/>
    </row>
    <row r="140" spans="2:14" ht="27" customHeight="1">
      <c r="B140" s="233"/>
      <c r="C140" s="306" t="s">
        <v>112</v>
      </c>
      <c r="D140" s="238">
        <v>20301</v>
      </c>
      <c r="E140" s="238">
        <v>2</v>
      </c>
      <c r="F140" s="251">
        <v>1.99</v>
      </c>
      <c r="G140" s="251">
        <v>0.95099999999999996</v>
      </c>
      <c r="H140" s="251">
        <v>0</v>
      </c>
      <c r="I140" s="252">
        <v>3.34</v>
      </c>
      <c r="J140" s="252">
        <v>0</v>
      </c>
      <c r="K140" s="252">
        <v>0</v>
      </c>
      <c r="L140" s="251">
        <v>0</v>
      </c>
      <c r="M140" s="238"/>
      <c r="N140" s="236"/>
    </row>
    <row r="141" spans="2:14" ht="27" customHeight="1">
      <c r="B141" s="233"/>
      <c r="C141" s="306" t="s">
        <v>115</v>
      </c>
      <c r="D141" s="238">
        <v>20302</v>
      </c>
      <c r="E141" s="238">
        <v>2</v>
      </c>
      <c r="F141" s="251">
        <v>0.93799999999999994</v>
      </c>
      <c r="G141" s="251">
        <v>0</v>
      </c>
      <c r="H141" s="251">
        <v>0</v>
      </c>
      <c r="I141" s="252">
        <v>0</v>
      </c>
      <c r="J141" s="252">
        <v>0</v>
      </c>
      <c r="K141" s="252">
        <v>0</v>
      </c>
      <c r="L141" s="251">
        <v>0</v>
      </c>
      <c r="M141" s="238"/>
      <c r="N141" s="236"/>
    </row>
    <row r="142" spans="2:14" ht="27" customHeight="1">
      <c r="B142" s="233"/>
      <c r="C142" s="306" t="s">
        <v>118</v>
      </c>
      <c r="D142" s="238">
        <v>20303</v>
      </c>
      <c r="E142" s="238">
        <v>3</v>
      </c>
      <c r="F142" s="251">
        <v>1.615</v>
      </c>
      <c r="G142" s="251">
        <v>0</v>
      </c>
      <c r="H142" s="251">
        <v>0</v>
      </c>
      <c r="I142" s="252">
        <v>5.41</v>
      </c>
      <c r="J142" s="252">
        <v>0</v>
      </c>
      <c r="K142" s="252">
        <v>0</v>
      </c>
      <c r="L142" s="251">
        <v>0</v>
      </c>
      <c r="M142" s="238"/>
      <c r="N142" s="236"/>
    </row>
    <row r="143" spans="2:14" ht="27" customHeight="1">
      <c r="B143" s="233"/>
      <c r="C143" s="306" t="s">
        <v>121</v>
      </c>
      <c r="D143" s="238">
        <v>20304</v>
      </c>
      <c r="E143" s="238">
        <v>4</v>
      </c>
      <c r="F143" s="251">
        <v>1.746</v>
      </c>
      <c r="G143" s="251">
        <v>0.94699999999999995</v>
      </c>
      <c r="H143" s="251">
        <v>0</v>
      </c>
      <c r="I143" s="252">
        <v>5.41</v>
      </c>
      <c r="J143" s="252">
        <v>0</v>
      </c>
      <c r="K143" s="252">
        <v>0</v>
      </c>
      <c r="L143" s="251">
        <v>0</v>
      </c>
      <c r="M143" s="238"/>
      <c r="N143" s="236"/>
    </row>
    <row r="144" spans="2:14" ht="27" customHeight="1">
      <c r="B144" s="233"/>
      <c r="C144" s="306" t="s">
        <v>124</v>
      </c>
      <c r="D144" s="238">
        <v>20305</v>
      </c>
      <c r="E144" s="238">
        <v>4</v>
      </c>
      <c r="F144" s="251">
        <v>0.94299999999999995</v>
      </c>
      <c r="G144" s="251">
        <v>0</v>
      </c>
      <c r="H144" s="251">
        <v>0</v>
      </c>
      <c r="I144" s="252">
        <v>0</v>
      </c>
      <c r="J144" s="252">
        <v>0</v>
      </c>
      <c r="K144" s="252">
        <v>0</v>
      </c>
      <c r="L144" s="251">
        <v>0</v>
      </c>
      <c r="M144" s="238"/>
      <c r="N144" s="236"/>
    </row>
    <row r="145" spans="2:14" ht="27" customHeight="1">
      <c r="B145" s="233"/>
      <c r="C145" s="306" t="s">
        <v>127</v>
      </c>
      <c r="D145" s="238">
        <v>20306</v>
      </c>
      <c r="E145" s="238" t="s">
        <v>929</v>
      </c>
      <c r="F145" s="251">
        <v>1.6539999999999999</v>
      </c>
      <c r="G145" s="251">
        <v>0.93100000000000005</v>
      </c>
      <c r="H145" s="251">
        <v>0</v>
      </c>
      <c r="I145" s="252">
        <v>24.01</v>
      </c>
      <c r="J145" s="252">
        <v>0</v>
      </c>
      <c r="K145" s="252">
        <v>0</v>
      </c>
      <c r="L145" s="251">
        <v>0</v>
      </c>
      <c r="M145" s="238"/>
      <c r="N145" s="236"/>
    </row>
    <row r="146" spans="2:14" ht="27" customHeight="1">
      <c r="B146" s="233"/>
      <c r="C146" s="306" t="s">
        <v>1175</v>
      </c>
      <c r="D146" s="238">
        <v>20307</v>
      </c>
      <c r="E146" s="238"/>
      <c r="F146" s="251">
        <v>9.0449999999999999</v>
      </c>
      <c r="G146" s="251">
        <v>1.1910000000000001</v>
      </c>
      <c r="H146" s="251">
        <v>0.94199999999999995</v>
      </c>
      <c r="I146" s="252">
        <v>3.34</v>
      </c>
      <c r="J146" s="252">
        <v>0</v>
      </c>
      <c r="K146" s="252">
        <v>0</v>
      </c>
      <c r="L146" s="251">
        <v>0</v>
      </c>
      <c r="M146" s="238"/>
      <c r="N146" s="236"/>
    </row>
    <row r="147" spans="2:14" ht="27" customHeight="1">
      <c r="B147" s="233"/>
      <c r="C147" s="306" t="s">
        <v>1174</v>
      </c>
      <c r="D147" s="238">
        <v>20308</v>
      </c>
      <c r="E147" s="238"/>
      <c r="F147" s="251">
        <v>9.2070000000000007</v>
      </c>
      <c r="G147" s="251">
        <v>1.198</v>
      </c>
      <c r="H147" s="251">
        <v>0.94299999999999995</v>
      </c>
      <c r="I147" s="252">
        <v>5.41</v>
      </c>
      <c r="J147" s="252">
        <v>0</v>
      </c>
      <c r="K147" s="252">
        <v>0</v>
      </c>
      <c r="L147" s="251">
        <v>0</v>
      </c>
      <c r="M147" s="238"/>
      <c r="N147" s="236"/>
    </row>
    <row r="148" spans="2:14" ht="27" customHeight="1">
      <c r="B148" s="233"/>
      <c r="C148" s="306" t="s">
        <v>132</v>
      </c>
      <c r="D148" s="238">
        <v>20309</v>
      </c>
      <c r="E148" s="238"/>
      <c r="F148" s="251">
        <v>6.7249999999999996</v>
      </c>
      <c r="G148" s="251">
        <v>1.069</v>
      </c>
      <c r="H148" s="251">
        <v>0.91300000000000003</v>
      </c>
      <c r="I148" s="252">
        <v>7.62</v>
      </c>
      <c r="J148" s="252">
        <v>1.97</v>
      </c>
      <c r="K148" s="252">
        <v>4.49</v>
      </c>
      <c r="L148" s="251">
        <v>9.8000000000000004E-2</v>
      </c>
      <c r="M148" s="238"/>
      <c r="N148" s="236"/>
    </row>
    <row r="149" spans="2:14" ht="27" customHeight="1">
      <c r="B149" s="233"/>
      <c r="C149" s="306" t="s">
        <v>139</v>
      </c>
      <c r="D149" s="238">
        <v>20310</v>
      </c>
      <c r="E149" s="238">
        <v>8</v>
      </c>
      <c r="F149" s="251">
        <v>1.9470000000000001</v>
      </c>
      <c r="G149" s="251">
        <v>0</v>
      </c>
      <c r="H149" s="251">
        <v>0</v>
      </c>
      <c r="I149" s="252">
        <v>0</v>
      </c>
      <c r="J149" s="252">
        <v>0</v>
      </c>
      <c r="K149" s="252">
        <v>0</v>
      </c>
      <c r="L149" s="251">
        <v>0</v>
      </c>
      <c r="M149" s="238"/>
      <c r="N149" s="236"/>
    </row>
    <row r="150" spans="2:14" ht="27" customHeight="1">
      <c r="B150" s="233"/>
      <c r="C150" s="306" t="s">
        <v>142</v>
      </c>
      <c r="D150" s="238">
        <v>20311</v>
      </c>
      <c r="E150" s="238">
        <v>1</v>
      </c>
      <c r="F150" s="251">
        <v>2.1890000000000001</v>
      </c>
      <c r="G150" s="251">
        <v>0</v>
      </c>
      <c r="H150" s="251">
        <v>0</v>
      </c>
      <c r="I150" s="252">
        <v>0</v>
      </c>
      <c r="J150" s="252">
        <v>0</v>
      </c>
      <c r="K150" s="252">
        <v>0</v>
      </c>
      <c r="L150" s="251">
        <v>0</v>
      </c>
      <c r="M150" s="238"/>
      <c r="N150" s="236"/>
    </row>
    <row r="151" spans="2:14" ht="27" customHeight="1">
      <c r="B151" s="233"/>
      <c r="C151" s="306" t="s">
        <v>145</v>
      </c>
      <c r="D151" s="238">
        <v>20312</v>
      </c>
      <c r="E151" s="238">
        <v>1</v>
      </c>
      <c r="F151" s="251">
        <v>2.7570000000000001</v>
      </c>
      <c r="G151" s="251">
        <v>0</v>
      </c>
      <c r="H151" s="251">
        <v>0</v>
      </c>
      <c r="I151" s="252">
        <v>0</v>
      </c>
      <c r="J151" s="252">
        <v>0</v>
      </c>
      <c r="K151" s="252">
        <v>0</v>
      </c>
      <c r="L151" s="251">
        <v>0</v>
      </c>
      <c r="M151" s="238"/>
      <c r="N151" s="236"/>
    </row>
    <row r="152" spans="2:14" ht="27" customHeight="1">
      <c r="B152" s="233"/>
      <c r="C152" s="306" t="s">
        <v>148</v>
      </c>
      <c r="D152" s="238">
        <v>20313</v>
      </c>
      <c r="E152" s="238">
        <v>1</v>
      </c>
      <c r="F152" s="251">
        <v>1.7130000000000001</v>
      </c>
      <c r="G152" s="251">
        <v>0</v>
      </c>
      <c r="H152" s="251">
        <v>0</v>
      </c>
      <c r="I152" s="252">
        <v>0</v>
      </c>
      <c r="J152" s="252">
        <v>0</v>
      </c>
      <c r="K152" s="252">
        <v>0</v>
      </c>
      <c r="L152" s="251">
        <v>0</v>
      </c>
      <c r="M152" s="238"/>
      <c r="N152" s="236"/>
    </row>
    <row r="153" spans="2:14" ht="27" customHeight="1">
      <c r="B153" s="233"/>
      <c r="C153" s="306" t="s">
        <v>151</v>
      </c>
      <c r="D153" s="238">
        <v>20314</v>
      </c>
      <c r="E153" s="238"/>
      <c r="F153" s="251">
        <v>21.981999999999999</v>
      </c>
      <c r="G153" s="251">
        <v>1.7430000000000001</v>
      </c>
      <c r="H153" s="251">
        <v>1.4750000000000001</v>
      </c>
      <c r="I153" s="252">
        <v>0</v>
      </c>
      <c r="J153" s="252">
        <v>0</v>
      </c>
      <c r="K153" s="252">
        <v>0</v>
      </c>
      <c r="L153" s="251">
        <v>0</v>
      </c>
      <c r="M153" s="238"/>
      <c r="N153" s="236"/>
    </row>
    <row r="154" spans="2:14" ht="27" customHeight="1">
      <c r="B154" s="233"/>
      <c r="C154" s="306" t="s">
        <v>1173</v>
      </c>
      <c r="D154" s="238">
        <v>20315</v>
      </c>
      <c r="E154" s="238" t="s">
        <v>1169</v>
      </c>
      <c r="F154" s="251">
        <v>-0.72</v>
      </c>
      <c r="G154" s="251">
        <v>0</v>
      </c>
      <c r="H154" s="251">
        <v>0</v>
      </c>
      <c r="I154" s="252">
        <v>0</v>
      </c>
      <c r="J154" s="252">
        <v>0</v>
      </c>
      <c r="K154" s="252">
        <v>0</v>
      </c>
      <c r="L154" s="251">
        <v>0</v>
      </c>
      <c r="M154" s="238"/>
      <c r="N154" s="236"/>
    </row>
    <row r="155" spans="2:14" ht="27" customHeight="1">
      <c r="B155" s="233"/>
      <c r="C155" s="306" t="s">
        <v>156</v>
      </c>
      <c r="D155" s="238">
        <v>20316</v>
      </c>
      <c r="E155" s="238"/>
      <c r="F155" s="251">
        <v>-0.72</v>
      </c>
      <c r="G155" s="251">
        <v>0</v>
      </c>
      <c r="H155" s="251">
        <v>0</v>
      </c>
      <c r="I155" s="252">
        <v>0</v>
      </c>
      <c r="J155" s="252">
        <v>0</v>
      </c>
      <c r="K155" s="252">
        <v>0</v>
      </c>
      <c r="L155" s="251">
        <v>0.156</v>
      </c>
      <c r="M155" s="238"/>
      <c r="N155" s="236"/>
    </row>
    <row r="156" spans="2:14" ht="27" customHeight="1">
      <c r="B156" s="233"/>
      <c r="C156" s="306" t="s">
        <v>159</v>
      </c>
      <c r="D156" s="238">
        <v>20317</v>
      </c>
      <c r="E156" s="238"/>
      <c r="F156" s="251">
        <v>-8.8030000000000008</v>
      </c>
      <c r="G156" s="251">
        <v>-0.36299999999999999</v>
      </c>
      <c r="H156" s="251">
        <v>-9.5000000000000001E-2</v>
      </c>
      <c r="I156" s="252">
        <v>0</v>
      </c>
      <c r="J156" s="252">
        <v>0</v>
      </c>
      <c r="K156" s="252">
        <v>0</v>
      </c>
      <c r="L156" s="251">
        <v>0.156</v>
      </c>
      <c r="M156" s="238"/>
      <c r="N156" s="236"/>
    </row>
    <row r="157" spans="2:14" ht="27" customHeight="1">
      <c r="B157" s="233"/>
      <c r="C157" s="306" t="s">
        <v>110</v>
      </c>
      <c r="D157" s="238">
        <v>20318</v>
      </c>
      <c r="E157" s="238">
        <v>1</v>
      </c>
      <c r="F157" s="251">
        <v>1.0760000000000001</v>
      </c>
      <c r="G157" s="251">
        <v>0</v>
      </c>
      <c r="H157" s="251">
        <v>0</v>
      </c>
      <c r="I157" s="252">
        <v>2.0299999999999998</v>
      </c>
      <c r="J157" s="252">
        <v>0</v>
      </c>
      <c r="K157" s="252">
        <v>0</v>
      </c>
      <c r="L157" s="251">
        <v>0</v>
      </c>
      <c r="M157" s="238"/>
      <c r="N157" s="236"/>
    </row>
    <row r="158" spans="2:14" ht="27" customHeight="1">
      <c r="B158" s="233"/>
      <c r="C158" s="306" t="s">
        <v>113</v>
      </c>
      <c r="D158" s="238">
        <v>20319</v>
      </c>
      <c r="E158" s="238">
        <v>2</v>
      </c>
      <c r="F158" s="251">
        <v>1.21</v>
      </c>
      <c r="G158" s="251">
        <v>0.57799999999999996</v>
      </c>
      <c r="H158" s="251">
        <v>0</v>
      </c>
      <c r="I158" s="252">
        <v>2.0299999999999998</v>
      </c>
      <c r="J158" s="252">
        <v>0</v>
      </c>
      <c r="K158" s="252">
        <v>0</v>
      </c>
      <c r="L158" s="251">
        <v>0</v>
      </c>
      <c r="M158" s="238"/>
      <c r="N158" s="236"/>
    </row>
    <row r="159" spans="2:14" ht="27" customHeight="1">
      <c r="B159" s="233"/>
      <c r="C159" s="306" t="s">
        <v>116</v>
      </c>
      <c r="D159" s="238">
        <v>20320</v>
      </c>
      <c r="E159" s="238">
        <v>2</v>
      </c>
      <c r="F159" s="251">
        <v>0.56999999999999995</v>
      </c>
      <c r="G159" s="251">
        <v>0</v>
      </c>
      <c r="H159" s="251">
        <v>0</v>
      </c>
      <c r="I159" s="252">
        <v>0</v>
      </c>
      <c r="J159" s="252">
        <v>0</v>
      </c>
      <c r="K159" s="252">
        <v>0</v>
      </c>
      <c r="L159" s="251">
        <v>0</v>
      </c>
      <c r="M159" s="238"/>
      <c r="N159" s="236"/>
    </row>
    <row r="160" spans="2:14" ht="27" customHeight="1">
      <c r="B160" s="233"/>
      <c r="C160" s="306" t="s">
        <v>119</v>
      </c>
      <c r="D160" s="238">
        <v>20321</v>
      </c>
      <c r="E160" s="238">
        <v>3</v>
      </c>
      <c r="F160" s="251">
        <v>0.98199999999999998</v>
      </c>
      <c r="G160" s="251">
        <v>0</v>
      </c>
      <c r="H160" s="251">
        <v>0</v>
      </c>
      <c r="I160" s="252">
        <v>3.29</v>
      </c>
      <c r="J160" s="252">
        <v>0</v>
      </c>
      <c r="K160" s="252">
        <v>0</v>
      </c>
      <c r="L160" s="251">
        <v>0</v>
      </c>
      <c r="M160" s="238"/>
      <c r="N160" s="236"/>
    </row>
    <row r="161" spans="2:14" ht="27" customHeight="1">
      <c r="B161" s="233"/>
      <c r="C161" s="306" t="s">
        <v>122</v>
      </c>
      <c r="D161" s="238">
        <v>20322</v>
      </c>
      <c r="E161" s="238">
        <v>4</v>
      </c>
      <c r="F161" s="251">
        <v>1.0609999999999999</v>
      </c>
      <c r="G161" s="251">
        <v>0.57599999999999996</v>
      </c>
      <c r="H161" s="251">
        <v>0</v>
      </c>
      <c r="I161" s="252">
        <v>3.29</v>
      </c>
      <c r="J161" s="252">
        <v>0</v>
      </c>
      <c r="K161" s="252">
        <v>0</v>
      </c>
      <c r="L161" s="251">
        <v>0</v>
      </c>
      <c r="M161" s="238"/>
      <c r="N161" s="236"/>
    </row>
    <row r="162" spans="2:14" ht="27" customHeight="1">
      <c r="B162" s="233"/>
      <c r="C162" s="306" t="s">
        <v>125</v>
      </c>
      <c r="D162" s="238">
        <v>20323</v>
      </c>
      <c r="E162" s="238">
        <v>4</v>
      </c>
      <c r="F162" s="251">
        <v>0.57299999999999995</v>
      </c>
      <c r="G162" s="251">
        <v>0</v>
      </c>
      <c r="H162" s="251">
        <v>0</v>
      </c>
      <c r="I162" s="252">
        <v>0</v>
      </c>
      <c r="J162" s="252">
        <v>0</v>
      </c>
      <c r="K162" s="252">
        <v>0</v>
      </c>
      <c r="L162" s="251">
        <v>0</v>
      </c>
      <c r="M162" s="238"/>
      <c r="N162" s="236"/>
    </row>
    <row r="163" spans="2:14" ht="27" customHeight="1">
      <c r="B163" s="233"/>
      <c r="C163" s="306" t="s">
        <v>128</v>
      </c>
      <c r="D163" s="238">
        <v>20324</v>
      </c>
      <c r="E163" s="238" t="s">
        <v>929</v>
      </c>
      <c r="F163" s="251">
        <v>1.0049999999999999</v>
      </c>
      <c r="G163" s="251">
        <v>0.56599999999999995</v>
      </c>
      <c r="H163" s="251">
        <v>0</v>
      </c>
      <c r="I163" s="252">
        <v>14.59</v>
      </c>
      <c r="J163" s="252">
        <v>0</v>
      </c>
      <c r="K163" s="252">
        <v>0</v>
      </c>
      <c r="L163" s="251">
        <v>0</v>
      </c>
      <c r="M163" s="238"/>
      <c r="N163" s="236"/>
    </row>
    <row r="164" spans="2:14" ht="27" customHeight="1">
      <c r="B164" s="233"/>
      <c r="C164" s="306" t="s">
        <v>1172</v>
      </c>
      <c r="D164" s="238">
        <v>20325</v>
      </c>
      <c r="E164" s="238"/>
      <c r="F164" s="251">
        <v>5.4960000000000004</v>
      </c>
      <c r="G164" s="251">
        <v>0.72399999999999998</v>
      </c>
      <c r="H164" s="251">
        <v>0.57299999999999995</v>
      </c>
      <c r="I164" s="252">
        <v>2.0299999999999998</v>
      </c>
      <c r="J164" s="252">
        <v>0</v>
      </c>
      <c r="K164" s="252">
        <v>0</v>
      </c>
      <c r="L164" s="251">
        <v>0</v>
      </c>
      <c r="M164" s="238"/>
      <c r="N164" s="236"/>
    </row>
    <row r="165" spans="2:14" ht="27" customHeight="1">
      <c r="B165" s="233"/>
      <c r="C165" s="306" t="s">
        <v>1171</v>
      </c>
      <c r="D165" s="238">
        <v>20326</v>
      </c>
      <c r="E165" s="238"/>
      <c r="F165" s="251">
        <v>5.5940000000000003</v>
      </c>
      <c r="G165" s="251">
        <v>0.72799999999999998</v>
      </c>
      <c r="H165" s="251">
        <v>0.57299999999999995</v>
      </c>
      <c r="I165" s="252">
        <v>3.29</v>
      </c>
      <c r="J165" s="252">
        <v>0</v>
      </c>
      <c r="K165" s="252">
        <v>0</v>
      </c>
      <c r="L165" s="251">
        <v>0</v>
      </c>
      <c r="M165" s="238"/>
      <c r="N165" s="236"/>
    </row>
    <row r="166" spans="2:14" ht="27" customHeight="1">
      <c r="B166" s="233"/>
      <c r="C166" s="306" t="s">
        <v>133</v>
      </c>
      <c r="D166" s="238">
        <v>20327</v>
      </c>
      <c r="E166" s="238"/>
      <c r="F166" s="251">
        <v>4.0869999999999997</v>
      </c>
      <c r="G166" s="251">
        <v>0.65</v>
      </c>
      <c r="H166" s="251">
        <v>0.55500000000000005</v>
      </c>
      <c r="I166" s="252">
        <v>4.63</v>
      </c>
      <c r="J166" s="252">
        <v>1.2</v>
      </c>
      <c r="K166" s="252">
        <v>2.73</v>
      </c>
      <c r="L166" s="251">
        <v>5.8999999999999997E-2</v>
      </c>
      <c r="M166" s="238"/>
      <c r="N166" s="236"/>
    </row>
    <row r="167" spans="2:14" ht="27" customHeight="1">
      <c r="B167" s="233"/>
      <c r="C167" s="306" t="s">
        <v>135</v>
      </c>
      <c r="D167" s="238">
        <v>20328</v>
      </c>
      <c r="E167" s="238"/>
      <c r="F167" s="251">
        <v>5.3890000000000002</v>
      </c>
      <c r="G167" s="251">
        <v>0.97599999999999998</v>
      </c>
      <c r="H167" s="251">
        <v>0.89100000000000001</v>
      </c>
      <c r="I167" s="252">
        <v>5.85</v>
      </c>
      <c r="J167" s="252">
        <v>2.11</v>
      </c>
      <c r="K167" s="252">
        <v>4.33</v>
      </c>
      <c r="L167" s="251">
        <v>6.9000000000000006E-2</v>
      </c>
      <c r="M167" s="238"/>
      <c r="N167" s="236"/>
    </row>
    <row r="168" spans="2:14" ht="27" customHeight="1">
      <c r="B168" s="233"/>
      <c r="C168" s="306" t="s">
        <v>137</v>
      </c>
      <c r="D168" s="238">
        <v>20329</v>
      </c>
      <c r="E168" s="238"/>
      <c r="F168" s="251">
        <v>5</v>
      </c>
      <c r="G168" s="251">
        <v>1.0840000000000001</v>
      </c>
      <c r="H168" s="251">
        <v>1.0389999999999999</v>
      </c>
      <c r="I168" s="252">
        <v>68.86</v>
      </c>
      <c r="J168" s="252">
        <v>2.12</v>
      </c>
      <c r="K168" s="252">
        <v>5.2</v>
      </c>
      <c r="L168" s="251">
        <v>5.6000000000000001E-2</v>
      </c>
      <c r="M168" s="238"/>
      <c r="N168" s="236"/>
    </row>
    <row r="169" spans="2:14" ht="27" customHeight="1">
      <c r="B169" s="233"/>
      <c r="C169" s="306" t="s">
        <v>140</v>
      </c>
      <c r="D169" s="238">
        <v>20330</v>
      </c>
      <c r="E169" s="238">
        <v>8</v>
      </c>
      <c r="F169" s="251">
        <v>1.1830000000000001</v>
      </c>
      <c r="G169" s="251">
        <v>0</v>
      </c>
      <c r="H169" s="251">
        <v>0</v>
      </c>
      <c r="I169" s="252">
        <v>0</v>
      </c>
      <c r="J169" s="252">
        <v>0</v>
      </c>
      <c r="K169" s="252">
        <v>0</v>
      </c>
      <c r="L169" s="251">
        <v>0</v>
      </c>
      <c r="M169" s="238"/>
      <c r="N169" s="236"/>
    </row>
    <row r="170" spans="2:14" ht="27" customHeight="1">
      <c r="B170" s="233"/>
      <c r="C170" s="306" t="s">
        <v>143</v>
      </c>
      <c r="D170" s="238">
        <v>20331</v>
      </c>
      <c r="E170" s="238">
        <v>1</v>
      </c>
      <c r="F170" s="251">
        <v>1.33</v>
      </c>
      <c r="G170" s="251">
        <v>0</v>
      </c>
      <c r="H170" s="251">
        <v>0</v>
      </c>
      <c r="I170" s="252">
        <v>0</v>
      </c>
      <c r="J170" s="252">
        <v>0</v>
      </c>
      <c r="K170" s="252">
        <v>0</v>
      </c>
      <c r="L170" s="251">
        <v>0</v>
      </c>
      <c r="M170" s="238"/>
      <c r="N170" s="236"/>
    </row>
    <row r="171" spans="2:14" ht="27" customHeight="1">
      <c r="B171" s="233"/>
      <c r="C171" s="306" t="s">
        <v>146</v>
      </c>
      <c r="D171" s="238">
        <v>20332</v>
      </c>
      <c r="E171" s="238">
        <v>1</v>
      </c>
      <c r="F171" s="251">
        <v>1.675</v>
      </c>
      <c r="G171" s="251">
        <v>0</v>
      </c>
      <c r="H171" s="251">
        <v>0</v>
      </c>
      <c r="I171" s="252">
        <v>0</v>
      </c>
      <c r="J171" s="252">
        <v>0</v>
      </c>
      <c r="K171" s="252">
        <v>0</v>
      </c>
      <c r="L171" s="251">
        <v>0</v>
      </c>
      <c r="M171" s="238"/>
      <c r="N171" s="236"/>
    </row>
    <row r="172" spans="2:14" ht="27" customHeight="1">
      <c r="B172" s="233"/>
      <c r="C172" s="306" t="s">
        <v>149</v>
      </c>
      <c r="D172" s="238">
        <v>20333</v>
      </c>
      <c r="E172" s="238">
        <v>1</v>
      </c>
      <c r="F172" s="251">
        <v>1.0409999999999999</v>
      </c>
      <c r="G172" s="251">
        <v>0</v>
      </c>
      <c r="H172" s="251">
        <v>0</v>
      </c>
      <c r="I172" s="252">
        <v>0</v>
      </c>
      <c r="J172" s="252">
        <v>0</v>
      </c>
      <c r="K172" s="252">
        <v>0</v>
      </c>
      <c r="L172" s="251">
        <v>0</v>
      </c>
      <c r="M172" s="238"/>
      <c r="N172" s="236"/>
    </row>
    <row r="173" spans="2:14" ht="27" customHeight="1">
      <c r="B173" s="233"/>
      <c r="C173" s="306" t="s">
        <v>152</v>
      </c>
      <c r="D173" s="238">
        <v>20334</v>
      </c>
      <c r="E173" s="238"/>
      <c r="F173" s="251">
        <v>13.356999999999999</v>
      </c>
      <c r="G173" s="251">
        <v>1.0589999999999999</v>
      </c>
      <c r="H173" s="251">
        <v>0.89600000000000002</v>
      </c>
      <c r="I173" s="252">
        <v>0</v>
      </c>
      <c r="J173" s="252">
        <v>0</v>
      </c>
      <c r="K173" s="252">
        <v>0</v>
      </c>
      <c r="L173" s="251">
        <v>0</v>
      </c>
      <c r="M173" s="238"/>
      <c r="N173" s="236"/>
    </row>
    <row r="174" spans="2:14" ht="27" customHeight="1">
      <c r="B174" s="233"/>
      <c r="C174" s="306" t="s">
        <v>1170</v>
      </c>
      <c r="D174" s="238">
        <v>20335</v>
      </c>
      <c r="E174" s="238" t="s">
        <v>1169</v>
      </c>
      <c r="F174" s="251">
        <v>-0.72</v>
      </c>
      <c r="G174" s="251">
        <v>0</v>
      </c>
      <c r="H174" s="251">
        <v>0</v>
      </c>
      <c r="I174" s="252">
        <v>0</v>
      </c>
      <c r="J174" s="252">
        <v>0</v>
      </c>
      <c r="K174" s="252">
        <v>0</v>
      </c>
      <c r="L174" s="251">
        <v>0</v>
      </c>
      <c r="M174" s="238"/>
      <c r="N174" s="236"/>
    </row>
    <row r="175" spans="2:14" ht="27" customHeight="1">
      <c r="B175" s="233"/>
      <c r="C175" s="306" t="s">
        <v>154</v>
      </c>
      <c r="D175" s="238">
        <v>20336</v>
      </c>
      <c r="E175" s="238">
        <v>8</v>
      </c>
      <c r="F175" s="251">
        <v>-0.65100000000000002</v>
      </c>
      <c r="G175" s="251">
        <v>0</v>
      </c>
      <c r="H175" s="251">
        <v>0</v>
      </c>
      <c r="I175" s="252">
        <v>0</v>
      </c>
      <c r="J175" s="252">
        <v>0</v>
      </c>
      <c r="K175" s="252">
        <v>0</v>
      </c>
      <c r="L175" s="251">
        <v>0</v>
      </c>
      <c r="M175" s="238"/>
      <c r="N175" s="236"/>
    </row>
    <row r="176" spans="2:14" ht="27" customHeight="1">
      <c r="B176" s="233"/>
      <c r="C176" s="306" t="s">
        <v>157</v>
      </c>
      <c r="D176" s="238">
        <v>20337</v>
      </c>
      <c r="E176" s="238"/>
      <c r="F176" s="251">
        <v>-0.72</v>
      </c>
      <c r="G176" s="251">
        <v>0</v>
      </c>
      <c r="H176" s="251">
        <v>0</v>
      </c>
      <c r="I176" s="252">
        <v>0</v>
      </c>
      <c r="J176" s="252">
        <v>0</v>
      </c>
      <c r="K176" s="252">
        <v>0</v>
      </c>
      <c r="L176" s="251">
        <v>0.156</v>
      </c>
      <c r="M176" s="238"/>
      <c r="N176" s="236"/>
    </row>
    <row r="177" spans="2:14" ht="27" customHeight="1">
      <c r="B177" s="233"/>
      <c r="C177" s="306" t="s">
        <v>160</v>
      </c>
      <c r="D177" s="238">
        <v>20338</v>
      </c>
      <c r="E177" s="238"/>
      <c r="F177" s="251">
        <v>-8.8030000000000008</v>
      </c>
      <c r="G177" s="251">
        <v>-0.36299999999999999</v>
      </c>
      <c r="H177" s="251">
        <v>-9.5000000000000001E-2</v>
      </c>
      <c r="I177" s="252">
        <v>0</v>
      </c>
      <c r="J177" s="252">
        <v>0</v>
      </c>
      <c r="K177" s="252">
        <v>0</v>
      </c>
      <c r="L177" s="251">
        <v>0.156</v>
      </c>
      <c r="M177" s="238"/>
      <c r="N177" s="236"/>
    </row>
    <row r="178" spans="2:14" ht="27" customHeight="1">
      <c r="B178" s="233"/>
      <c r="C178" s="306" t="s">
        <v>162</v>
      </c>
      <c r="D178" s="238">
        <v>20339</v>
      </c>
      <c r="E178" s="238"/>
      <c r="F178" s="251">
        <v>-0.65100000000000002</v>
      </c>
      <c r="G178" s="251">
        <v>0</v>
      </c>
      <c r="H178" s="251">
        <v>0</v>
      </c>
      <c r="I178" s="252">
        <v>0</v>
      </c>
      <c r="J178" s="252">
        <v>0</v>
      </c>
      <c r="K178" s="252">
        <v>0</v>
      </c>
      <c r="L178" s="251">
        <v>0.13</v>
      </c>
      <c r="M178" s="238"/>
      <c r="N178" s="236"/>
    </row>
    <row r="179" spans="2:14" ht="27" customHeight="1">
      <c r="B179" s="233"/>
      <c r="C179" s="306" t="s">
        <v>164</v>
      </c>
      <c r="D179" s="238">
        <v>20340</v>
      </c>
      <c r="E179" s="238"/>
      <c r="F179" s="251">
        <v>-8.0869999999999997</v>
      </c>
      <c r="G179" s="251">
        <v>-0.311</v>
      </c>
      <c r="H179" s="251">
        <v>-8.5000000000000006E-2</v>
      </c>
      <c r="I179" s="252">
        <v>0</v>
      </c>
      <c r="J179" s="252">
        <v>0</v>
      </c>
      <c r="K179" s="252">
        <v>0</v>
      </c>
      <c r="L179" s="251">
        <v>0.13</v>
      </c>
      <c r="M179" s="238"/>
      <c r="N179" s="236"/>
    </row>
    <row r="180" spans="2:14" ht="27" customHeight="1">
      <c r="B180" s="233"/>
      <c r="C180" s="306" t="s">
        <v>166</v>
      </c>
      <c r="D180" s="238">
        <v>20341</v>
      </c>
      <c r="E180" s="238"/>
      <c r="F180" s="251">
        <v>-0.41499999999999998</v>
      </c>
      <c r="G180" s="251">
        <v>0</v>
      </c>
      <c r="H180" s="251">
        <v>0</v>
      </c>
      <c r="I180" s="252">
        <v>0</v>
      </c>
      <c r="J180" s="252">
        <v>0</v>
      </c>
      <c r="K180" s="252">
        <v>0</v>
      </c>
      <c r="L180" s="251">
        <v>0.1</v>
      </c>
      <c r="M180" s="238"/>
      <c r="N180" s="236"/>
    </row>
    <row r="181" spans="2:14" ht="27" customHeight="1">
      <c r="B181" s="233"/>
      <c r="C181" s="306" t="s">
        <v>168</v>
      </c>
      <c r="D181" s="238">
        <v>20342</v>
      </c>
      <c r="E181" s="238"/>
      <c r="F181" s="251">
        <v>-5.625</v>
      </c>
      <c r="G181" s="251">
        <v>-0.13500000000000001</v>
      </c>
      <c r="H181" s="251">
        <v>-4.8000000000000001E-2</v>
      </c>
      <c r="I181" s="252">
        <v>0</v>
      </c>
      <c r="J181" s="252">
        <v>0</v>
      </c>
      <c r="K181" s="252">
        <v>0</v>
      </c>
      <c r="L181" s="251">
        <v>0.1</v>
      </c>
      <c r="M181" s="238"/>
      <c r="N181" s="236"/>
    </row>
    <row r="182" spans="2:14" ht="27" customHeight="1" thickBot="1">
      <c r="B182" s="239"/>
      <c r="C182" s="240"/>
      <c r="D182" s="240"/>
      <c r="E182" s="240"/>
      <c r="F182" s="240"/>
      <c r="G182" s="240"/>
      <c r="H182" s="240"/>
      <c r="I182" s="240"/>
      <c r="J182" s="240"/>
      <c r="K182" s="240"/>
      <c r="L182" s="240"/>
      <c r="M182" s="240"/>
      <c r="N182" s="241"/>
    </row>
    <row r="183" spans="2:14" ht="27" customHeight="1"/>
    <row r="184" spans="2:14" ht="27" customHeight="1"/>
    <row r="185" spans="2:14" ht="27" customHeight="1" thickBot="1"/>
    <row r="186" spans="2:14" ht="27" customHeight="1">
      <c r="B186" s="229"/>
      <c r="C186" s="230"/>
      <c r="D186" s="231"/>
      <c r="E186" s="231"/>
      <c r="F186" s="231"/>
      <c r="G186" s="231"/>
      <c r="H186" s="231"/>
      <c r="I186" s="231"/>
      <c r="J186" s="231"/>
      <c r="K186" s="231"/>
      <c r="L186" s="231"/>
      <c r="M186" s="231"/>
      <c r="N186" s="232"/>
    </row>
    <row r="187" spans="2:14" ht="27" customHeight="1">
      <c r="B187" s="233"/>
      <c r="C187" s="234" t="str">
        <f>"Tariffs for Charging Year: "&amp; " "&amp;D8&amp;""</f>
        <v>Tariffs for Charging Year:  2020/21</v>
      </c>
      <c r="D187" s="234"/>
      <c r="E187" s="234"/>
      <c r="F187" s="234"/>
      <c r="G187" s="234"/>
      <c r="H187" s="234"/>
      <c r="I187" s="235"/>
      <c r="J187" s="235"/>
      <c r="K187" s="235"/>
      <c r="L187" s="235"/>
      <c r="M187" s="235"/>
      <c r="N187" s="236"/>
    </row>
    <row r="188" spans="2:14" ht="27" customHeight="1">
      <c r="B188" s="233"/>
      <c r="C188" s="220"/>
      <c r="D188" s="235"/>
      <c r="E188" s="235"/>
      <c r="F188" s="235"/>
      <c r="G188" s="235"/>
      <c r="H188" s="235"/>
      <c r="I188" s="235"/>
      <c r="J188" s="235"/>
      <c r="K188" s="235"/>
      <c r="L188" s="235"/>
      <c r="M188" s="235"/>
      <c r="N188" s="236"/>
    </row>
    <row r="189" spans="2:14" ht="27" customHeight="1">
      <c r="B189" s="233"/>
      <c r="C189" s="220"/>
      <c r="D189" s="235"/>
      <c r="E189" s="235"/>
      <c r="F189" s="235"/>
      <c r="G189" s="235"/>
      <c r="H189" s="235"/>
      <c r="I189" s="235"/>
      <c r="J189" s="235"/>
      <c r="K189" s="235"/>
      <c r="L189" s="235"/>
      <c r="M189" s="235"/>
      <c r="N189" s="236"/>
    </row>
    <row r="190" spans="2:14" ht="27" customHeight="1">
      <c r="B190" s="233"/>
      <c r="C190" s="237"/>
      <c r="D190" s="209" t="s">
        <v>926</v>
      </c>
      <c r="E190" s="209" t="s">
        <v>927</v>
      </c>
      <c r="F190" s="209" t="s">
        <v>858</v>
      </c>
      <c r="G190" s="209" t="s">
        <v>859</v>
      </c>
      <c r="H190" s="209" t="s">
        <v>860</v>
      </c>
      <c r="I190" s="209" t="s">
        <v>861</v>
      </c>
      <c r="J190" s="209" t="s">
        <v>862</v>
      </c>
      <c r="K190" s="209" t="s">
        <v>1515</v>
      </c>
      <c r="L190" s="209" t="s">
        <v>720</v>
      </c>
      <c r="M190" s="209" t="s">
        <v>928</v>
      </c>
      <c r="N190" s="236"/>
    </row>
    <row r="191" spans="2:14" ht="27" customHeight="1">
      <c r="B191" s="233"/>
      <c r="C191" s="306" t="s">
        <v>54</v>
      </c>
      <c r="D191" s="238" t="s">
        <v>1764</v>
      </c>
      <c r="E191" s="238">
        <v>1</v>
      </c>
      <c r="F191" s="251">
        <v>2.8780000000000001</v>
      </c>
      <c r="G191" s="251">
        <v>0</v>
      </c>
      <c r="H191" s="251">
        <v>0</v>
      </c>
      <c r="I191" s="252">
        <v>5.48</v>
      </c>
      <c r="J191" s="252">
        <v>0</v>
      </c>
      <c r="K191" s="252">
        <v>0</v>
      </c>
      <c r="L191" s="251">
        <v>0</v>
      </c>
      <c r="M191" s="238"/>
      <c r="N191" s="236"/>
    </row>
    <row r="192" spans="2:14" ht="27" customHeight="1">
      <c r="B192" s="233"/>
      <c r="C192" s="306" t="s">
        <v>55</v>
      </c>
      <c r="D192" s="238" t="s">
        <v>1765</v>
      </c>
      <c r="E192" s="238">
        <v>2</v>
      </c>
      <c r="F192" s="251">
        <v>3.2389999999999999</v>
      </c>
      <c r="G192" s="251">
        <v>1.5329999999999999</v>
      </c>
      <c r="H192" s="251">
        <v>0</v>
      </c>
      <c r="I192" s="252">
        <v>5.48</v>
      </c>
      <c r="J192" s="252">
        <v>0</v>
      </c>
      <c r="K192" s="252">
        <v>0</v>
      </c>
      <c r="L192" s="251">
        <v>0</v>
      </c>
      <c r="M192" s="238"/>
      <c r="N192" s="236"/>
    </row>
    <row r="193" spans="2:14" ht="27" customHeight="1">
      <c r="B193" s="233"/>
      <c r="C193" s="306" t="s">
        <v>91</v>
      </c>
      <c r="D193" s="238">
        <v>430</v>
      </c>
      <c r="E193" s="238">
        <v>2</v>
      </c>
      <c r="F193" s="251">
        <v>1.5129999999999999</v>
      </c>
      <c r="G193" s="251">
        <v>0</v>
      </c>
      <c r="H193" s="251">
        <v>0</v>
      </c>
      <c r="I193" s="252">
        <v>0</v>
      </c>
      <c r="J193" s="252">
        <v>0</v>
      </c>
      <c r="K193" s="252">
        <v>0</v>
      </c>
      <c r="L193" s="251">
        <v>0</v>
      </c>
      <c r="M193" s="238"/>
      <c r="N193" s="236"/>
    </row>
    <row r="194" spans="2:14" ht="27" customHeight="1">
      <c r="B194" s="233"/>
      <c r="C194" s="306" t="s">
        <v>56</v>
      </c>
      <c r="D194" s="238">
        <v>110</v>
      </c>
      <c r="E194" s="238">
        <v>3</v>
      </c>
      <c r="F194" s="251">
        <v>2.6240000000000001</v>
      </c>
      <c r="G194" s="251">
        <v>0</v>
      </c>
      <c r="H194" s="251">
        <v>0</v>
      </c>
      <c r="I194" s="252">
        <v>8.8699999999999992</v>
      </c>
      <c r="J194" s="252">
        <v>0</v>
      </c>
      <c r="K194" s="252">
        <v>0</v>
      </c>
      <c r="L194" s="251">
        <v>0</v>
      </c>
      <c r="M194" s="238"/>
      <c r="N194" s="236"/>
    </row>
    <row r="195" spans="2:14" ht="27" customHeight="1">
      <c r="B195" s="233"/>
      <c r="C195" s="306" t="s">
        <v>57</v>
      </c>
      <c r="D195" s="238">
        <v>210</v>
      </c>
      <c r="E195" s="238">
        <v>4</v>
      </c>
      <c r="F195" s="251">
        <v>2.8380000000000001</v>
      </c>
      <c r="G195" s="251">
        <v>1.528</v>
      </c>
      <c r="H195" s="251">
        <v>0</v>
      </c>
      <c r="I195" s="252">
        <v>8.8699999999999992</v>
      </c>
      <c r="J195" s="252">
        <v>0</v>
      </c>
      <c r="K195" s="252">
        <v>0</v>
      </c>
      <c r="L195" s="251">
        <v>0</v>
      </c>
      <c r="M195" s="238"/>
      <c r="N195" s="236"/>
    </row>
    <row r="196" spans="2:14" ht="27" customHeight="1">
      <c r="B196" s="233"/>
      <c r="C196" s="306" t="s">
        <v>92</v>
      </c>
      <c r="D196" s="238">
        <v>251</v>
      </c>
      <c r="E196" s="238">
        <v>4</v>
      </c>
      <c r="F196" s="251">
        <v>1.522</v>
      </c>
      <c r="G196" s="251">
        <v>0</v>
      </c>
      <c r="H196" s="251">
        <v>0</v>
      </c>
      <c r="I196" s="252">
        <v>0</v>
      </c>
      <c r="J196" s="252">
        <v>0</v>
      </c>
      <c r="K196" s="252">
        <v>0</v>
      </c>
      <c r="L196" s="251">
        <v>0</v>
      </c>
      <c r="M196" s="238"/>
      <c r="N196" s="236"/>
    </row>
    <row r="197" spans="2:14" ht="27" customHeight="1">
      <c r="B197" s="233"/>
      <c r="C197" s="306" t="s">
        <v>58</v>
      </c>
      <c r="D197" s="238">
        <v>570</v>
      </c>
      <c r="E197" s="238" t="s">
        <v>929</v>
      </c>
      <c r="F197" s="251">
        <v>2.6869999999999998</v>
      </c>
      <c r="G197" s="251">
        <v>1.5</v>
      </c>
      <c r="H197" s="251">
        <v>0</v>
      </c>
      <c r="I197" s="252">
        <v>39.31</v>
      </c>
      <c r="J197" s="252">
        <v>0</v>
      </c>
      <c r="K197" s="252">
        <v>0</v>
      </c>
      <c r="L197" s="251">
        <v>0</v>
      </c>
      <c r="M197" s="238"/>
      <c r="N197" s="236"/>
    </row>
    <row r="198" spans="2:14" ht="27" customHeight="1">
      <c r="B198" s="233"/>
      <c r="C198" s="306" t="s">
        <v>59</v>
      </c>
      <c r="D198" s="238">
        <v>540</v>
      </c>
      <c r="E198" s="238" t="s">
        <v>929</v>
      </c>
      <c r="F198" s="251">
        <v>2.552</v>
      </c>
      <c r="G198" s="251">
        <v>1.486</v>
      </c>
      <c r="H198" s="251">
        <v>0</v>
      </c>
      <c r="I198" s="252">
        <v>27.27</v>
      </c>
      <c r="J198" s="252">
        <v>0</v>
      </c>
      <c r="K198" s="252">
        <v>0</v>
      </c>
      <c r="L198" s="251">
        <v>0</v>
      </c>
      <c r="M198" s="238"/>
      <c r="N198" s="236"/>
    </row>
    <row r="199" spans="2:14" ht="27" customHeight="1">
      <c r="B199" s="233"/>
      <c r="C199" s="306" t="s">
        <v>72</v>
      </c>
      <c r="D199" s="238">
        <v>510</v>
      </c>
      <c r="E199" s="238" t="s">
        <v>929</v>
      </c>
      <c r="F199" s="251">
        <v>2.0680000000000001</v>
      </c>
      <c r="G199" s="251">
        <v>1.429</v>
      </c>
      <c r="H199" s="251">
        <v>0</v>
      </c>
      <c r="I199" s="252">
        <v>183.08</v>
      </c>
      <c r="J199" s="252">
        <v>0</v>
      </c>
      <c r="K199" s="252">
        <v>0</v>
      </c>
      <c r="L199" s="251">
        <v>0</v>
      </c>
      <c r="M199" s="238"/>
      <c r="N199" s="236"/>
    </row>
    <row r="200" spans="2:14" ht="27" customHeight="1">
      <c r="B200" s="233"/>
      <c r="C200" s="306" t="s">
        <v>1178</v>
      </c>
      <c r="D200" s="238">
        <v>202</v>
      </c>
      <c r="E200" s="238"/>
      <c r="F200" s="251">
        <v>14.817</v>
      </c>
      <c r="G200" s="251">
        <v>1.927</v>
      </c>
      <c r="H200" s="251">
        <v>1.5189999999999999</v>
      </c>
      <c r="I200" s="252">
        <v>5.48</v>
      </c>
      <c r="J200" s="252">
        <v>0</v>
      </c>
      <c r="K200" s="252">
        <v>0</v>
      </c>
      <c r="L200" s="251">
        <v>0</v>
      </c>
      <c r="M200" s="238"/>
      <c r="N200" s="236"/>
    </row>
    <row r="201" spans="2:14" ht="27" customHeight="1">
      <c r="B201" s="233"/>
      <c r="C201" s="306" t="s">
        <v>1177</v>
      </c>
      <c r="D201" s="238">
        <v>203</v>
      </c>
      <c r="E201" s="238"/>
      <c r="F201" s="251">
        <v>15.083</v>
      </c>
      <c r="G201" s="251">
        <v>1.9379999999999999</v>
      </c>
      <c r="H201" s="251">
        <v>1.5209999999999999</v>
      </c>
      <c r="I201" s="252">
        <v>8.8699999999999992</v>
      </c>
      <c r="J201" s="252">
        <v>0</v>
      </c>
      <c r="K201" s="252">
        <v>0</v>
      </c>
      <c r="L201" s="251">
        <v>0</v>
      </c>
      <c r="M201" s="238"/>
      <c r="N201" s="236"/>
    </row>
    <row r="202" spans="2:14" ht="27" customHeight="1">
      <c r="B202" s="233"/>
      <c r="C202" s="306" t="s">
        <v>60</v>
      </c>
      <c r="D202" s="238">
        <v>570</v>
      </c>
      <c r="E202" s="238"/>
      <c r="F202" s="251">
        <v>11.010999999999999</v>
      </c>
      <c r="G202" s="251">
        <v>1.7270000000000001</v>
      </c>
      <c r="H202" s="251">
        <v>1.472</v>
      </c>
      <c r="I202" s="252">
        <v>12.52</v>
      </c>
      <c r="J202" s="252">
        <v>3.24</v>
      </c>
      <c r="K202" s="252">
        <v>7.36</v>
      </c>
      <c r="L202" s="251">
        <v>0.161</v>
      </c>
      <c r="M202" s="238"/>
      <c r="N202" s="236"/>
    </row>
    <row r="203" spans="2:14" ht="27" customHeight="1">
      <c r="B203" s="233"/>
      <c r="C203" s="306" t="s">
        <v>61</v>
      </c>
      <c r="D203" s="238">
        <v>540</v>
      </c>
      <c r="E203" s="238"/>
      <c r="F203" s="251">
        <v>8.8490000000000002</v>
      </c>
      <c r="G203" s="251">
        <v>1.581</v>
      </c>
      <c r="H203" s="251">
        <v>1.4410000000000001</v>
      </c>
      <c r="I203" s="252">
        <v>9.64</v>
      </c>
      <c r="J203" s="252">
        <v>3.47</v>
      </c>
      <c r="K203" s="252">
        <v>7.13</v>
      </c>
      <c r="L203" s="251">
        <v>0.114</v>
      </c>
      <c r="M203" s="238"/>
      <c r="N203" s="236"/>
    </row>
    <row r="204" spans="2:14" ht="27" customHeight="1">
      <c r="B204" s="233"/>
      <c r="C204" s="306" t="s">
        <v>73</v>
      </c>
      <c r="D204" s="238">
        <v>510</v>
      </c>
      <c r="E204" s="238"/>
      <c r="F204" s="251">
        <v>6.9160000000000004</v>
      </c>
      <c r="G204" s="251">
        <v>1.478</v>
      </c>
      <c r="H204" s="251">
        <v>1.4159999999999999</v>
      </c>
      <c r="I204" s="252">
        <v>95.68</v>
      </c>
      <c r="J204" s="252">
        <v>2.95</v>
      </c>
      <c r="K204" s="252">
        <v>7.22</v>
      </c>
      <c r="L204" s="251">
        <v>7.6999999999999999E-2</v>
      </c>
      <c r="M204" s="238"/>
      <c r="N204" s="236"/>
    </row>
    <row r="205" spans="2:14" ht="27" customHeight="1">
      <c r="B205" s="233"/>
      <c r="C205" s="306" t="s">
        <v>93</v>
      </c>
      <c r="D205" s="238">
        <v>977</v>
      </c>
      <c r="E205" s="238">
        <v>8</v>
      </c>
      <c r="F205" s="251">
        <v>3.1680000000000001</v>
      </c>
      <c r="G205" s="251">
        <v>0</v>
      </c>
      <c r="H205" s="251">
        <v>0</v>
      </c>
      <c r="I205" s="252">
        <v>0</v>
      </c>
      <c r="J205" s="252">
        <v>0</v>
      </c>
      <c r="K205" s="252">
        <v>0</v>
      </c>
      <c r="L205" s="251">
        <v>0</v>
      </c>
      <c r="M205" s="238"/>
      <c r="N205" s="236"/>
    </row>
    <row r="206" spans="2:14" ht="27" customHeight="1">
      <c r="B206" s="233"/>
      <c r="C206" s="306" t="s">
        <v>94</v>
      </c>
      <c r="D206" s="238">
        <v>980</v>
      </c>
      <c r="E206" s="238">
        <v>1</v>
      </c>
      <c r="F206" s="251">
        <v>3.5670000000000002</v>
      </c>
      <c r="G206" s="251">
        <v>0</v>
      </c>
      <c r="H206" s="251">
        <v>0</v>
      </c>
      <c r="I206" s="252">
        <v>0</v>
      </c>
      <c r="J206" s="252">
        <v>0</v>
      </c>
      <c r="K206" s="252">
        <v>0</v>
      </c>
      <c r="L206" s="251">
        <v>0</v>
      </c>
      <c r="M206" s="238"/>
      <c r="N206" s="236"/>
    </row>
    <row r="207" spans="2:14" ht="27" customHeight="1">
      <c r="B207" s="233"/>
      <c r="C207" s="306" t="s">
        <v>95</v>
      </c>
      <c r="D207" s="238">
        <v>978</v>
      </c>
      <c r="E207" s="238">
        <v>1</v>
      </c>
      <c r="F207" s="251">
        <v>4.4980000000000002</v>
      </c>
      <c r="G207" s="251">
        <v>0</v>
      </c>
      <c r="H207" s="251">
        <v>0</v>
      </c>
      <c r="I207" s="252">
        <v>0</v>
      </c>
      <c r="J207" s="252">
        <v>0</v>
      </c>
      <c r="K207" s="252">
        <v>0</v>
      </c>
      <c r="L207" s="251">
        <v>0</v>
      </c>
      <c r="M207" s="238"/>
      <c r="N207" s="236"/>
    </row>
    <row r="208" spans="2:14" ht="27" customHeight="1">
      <c r="B208" s="233"/>
      <c r="C208" s="306" t="s">
        <v>96</v>
      </c>
      <c r="D208" s="238">
        <v>979</v>
      </c>
      <c r="E208" s="238">
        <v>1</v>
      </c>
      <c r="F208" s="251">
        <v>2.782</v>
      </c>
      <c r="G208" s="251">
        <v>0</v>
      </c>
      <c r="H208" s="251">
        <v>0</v>
      </c>
      <c r="I208" s="252">
        <v>0</v>
      </c>
      <c r="J208" s="252">
        <v>0</v>
      </c>
      <c r="K208" s="252">
        <v>0</v>
      </c>
      <c r="L208" s="251">
        <v>0</v>
      </c>
      <c r="M208" s="238"/>
      <c r="N208" s="236"/>
    </row>
    <row r="209" spans="2:14" ht="27" customHeight="1">
      <c r="B209" s="233"/>
      <c r="C209" s="306" t="s">
        <v>97</v>
      </c>
      <c r="D209" s="238">
        <v>970</v>
      </c>
      <c r="E209" s="238"/>
      <c r="F209" s="251">
        <v>36.054000000000002</v>
      </c>
      <c r="G209" s="251">
        <v>2.83</v>
      </c>
      <c r="H209" s="251">
        <v>2.395</v>
      </c>
      <c r="I209" s="252">
        <v>0</v>
      </c>
      <c r="J209" s="252">
        <v>0</v>
      </c>
      <c r="K209" s="252">
        <v>0</v>
      </c>
      <c r="L209" s="251">
        <v>0</v>
      </c>
      <c r="M209" s="238"/>
      <c r="N209" s="236"/>
    </row>
    <row r="210" spans="2:14" ht="27" customHeight="1">
      <c r="B210" s="233"/>
      <c r="C210" s="306" t="s">
        <v>1176</v>
      </c>
      <c r="D210" s="238">
        <v>581</v>
      </c>
      <c r="E210" s="238" t="s">
        <v>1169</v>
      </c>
      <c r="F210" s="251">
        <v>-0.74099999999999999</v>
      </c>
      <c r="G210" s="251">
        <v>0</v>
      </c>
      <c r="H210" s="251">
        <v>0</v>
      </c>
      <c r="I210" s="252">
        <v>0</v>
      </c>
      <c r="J210" s="252">
        <v>0</v>
      </c>
      <c r="K210" s="252">
        <v>0</v>
      </c>
      <c r="L210" s="251">
        <v>0</v>
      </c>
      <c r="M210" s="238"/>
      <c r="N210" s="236"/>
    </row>
    <row r="211" spans="2:14" ht="27" customHeight="1">
      <c r="B211" s="233"/>
      <c r="C211" s="306" t="s">
        <v>62</v>
      </c>
      <c r="D211" s="238">
        <v>551</v>
      </c>
      <c r="E211" s="238">
        <v>8</v>
      </c>
      <c r="F211" s="251">
        <v>-0.67</v>
      </c>
      <c r="G211" s="251">
        <v>0</v>
      </c>
      <c r="H211" s="251">
        <v>0</v>
      </c>
      <c r="I211" s="252">
        <v>0</v>
      </c>
      <c r="J211" s="252">
        <v>0</v>
      </c>
      <c r="K211" s="252">
        <v>0</v>
      </c>
      <c r="L211" s="251">
        <v>0</v>
      </c>
      <c r="M211" s="238"/>
      <c r="N211" s="236"/>
    </row>
    <row r="212" spans="2:14" ht="27" customHeight="1">
      <c r="B212" s="233"/>
      <c r="C212" s="306" t="s">
        <v>63</v>
      </c>
      <c r="D212" s="238">
        <v>581</v>
      </c>
      <c r="E212" s="238"/>
      <c r="F212" s="251">
        <v>-0.74099999999999999</v>
      </c>
      <c r="G212" s="251">
        <v>0</v>
      </c>
      <c r="H212" s="251">
        <v>0</v>
      </c>
      <c r="I212" s="252">
        <v>0</v>
      </c>
      <c r="J212" s="252">
        <v>0</v>
      </c>
      <c r="K212" s="252">
        <v>0</v>
      </c>
      <c r="L212" s="251">
        <v>0.16</v>
      </c>
      <c r="M212" s="238"/>
      <c r="N212" s="236"/>
    </row>
    <row r="213" spans="2:14" ht="27" customHeight="1">
      <c r="B213" s="233"/>
      <c r="C213" s="306" t="s">
        <v>1516</v>
      </c>
      <c r="D213" s="238" t="s">
        <v>1766</v>
      </c>
      <c r="E213" s="238"/>
      <c r="F213" s="251">
        <v>-0.74099999999999999</v>
      </c>
      <c r="G213" s="251">
        <v>0</v>
      </c>
      <c r="H213" s="251">
        <v>0</v>
      </c>
      <c r="I213" s="252">
        <v>0</v>
      </c>
      <c r="J213" s="252">
        <v>0</v>
      </c>
      <c r="K213" s="252">
        <v>0</v>
      </c>
      <c r="L213" s="251">
        <v>0</v>
      </c>
      <c r="M213" s="238"/>
      <c r="N213" s="236"/>
    </row>
    <row r="214" spans="2:14" ht="27" customHeight="1">
      <c r="B214" s="233"/>
      <c r="C214" s="306" t="s">
        <v>64</v>
      </c>
      <c r="D214" s="238">
        <v>527</v>
      </c>
      <c r="E214" s="238"/>
      <c r="F214" s="251">
        <v>-9.0730000000000004</v>
      </c>
      <c r="G214" s="251">
        <v>-0.374</v>
      </c>
      <c r="H214" s="251">
        <v>-9.8000000000000004E-2</v>
      </c>
      <c r="I214" s="252">
        <v>0</v>
      </c>
      <c r="J214" s="252">
        <v>0</v>
      </c>
      <c r="K214" s="252">
        <v>0</v>
      </c>
      <c r="L214" s="251">
        <v>0.16</v>
      </c>
      <c r="M214" s="238"/>
      <c r="N214" s="236"/>
    </row>
    <row r="215" spans="2:14" ht="27" customHeight="1">
      <c r="B215" s="233"/>
      <c r="C215" s="306" t="s">
        <v>1517</v>
      </c>
      <c r="D215" s="238" t="s">
        <v>1766</v>
      </c>
      <c r="E215" s="238"/>
      <c r="F215" s="251">
        <v>-9.0730000000000004</v>
      </c>
      <c r="G215" s="251">
        <v>-0.374</v>
      </c>
      <c r="H215" s="251">
        <v>-9.8000000000000004E-2</v>
      </c>
      <c r="I215" s="252">
        <v>0</v>
      </c>
      <c r="J215" s="252">
        <v>0</v>
      </c>
      <c r="K215" s="252">
        <v>0</v>
      </c>
      <c r="L215" s="251">
        <v>0</v>
      </c>
      <c r="M215" s="238"/>
      <c r="N215" s="236"/>
    </row>
    <row r="216" spans="2:14" ht="27" customHeight="1">
      <c r="B216" s="233"/>
      <c r="C216" s="306" t="s">
        <v>65</v>
      </c>
      <c r="D216" s="238">
        <v>551</v>
      </c>
      <c r="E216" s="238"/>
      <c r="F216" s="251">
        <v>-0.67</v>
      </c>
      <c r="G216" s="251">
        <v>0</v>
      </c>
      <c r="H216" s="251">
        <v>0</v>
      </c>
      <c r="I216" s="252">
        <v>0</v>
      </c>
      <c r="J216" s="252">
        <v>0</v>
      </c>
      <c r="K216" s="252">
        <v>0</v>
      </c>
      <c r="L216" s="251">
        <v>0.13400000000000001</v>
      </c>
      <c r="M216" s="238"/>
      <c r="N216" s="236"/>
    </row>
    <row r="217" spans="2:14" ht="27" customHeight="1">
      <c r="B217" s="233"/>
      <c r="C217" s="306" t="s">
        <v>1518</v>
      </c>
      <c r="D217" s="238" t="s">
        <v>1766</v>
      </c>
      <c r="E217" s="238"/>
      <c r="F217" s="251">
        <v>-0.67</v>
      </c>
      <c r="G217" s="251">
        <v>0</v>
      </c>
      <c r="H217" s="251">
        <v>0</v>
      </c>
      <c r="I217" s="252">
        <v>0</v>
      </c>
      <c r="J217" s="252">
        <v>0</v>
      </c>
      <c r="K217" s="252">
        <v>0</v>
      </c>
      <c r="L217" s="251">
        <v>0</v>
      </c>
      <c r="M217" s="238"/>
      <c r="N217" s="236"/>
    </row>
    <row r="218" spans="2:14" ht="27" customHeight="1">
      <c r="B218" s="233"/>
      <c r="C218" s="306" t="s">
        <v>66</v>
      </c>
      <c r="D218" s="238">
        <v>526</v>
      </c>
      <c r="E218" s="238"/>
      <c r="F218" s="251">
        <v>-8.3350000000000009</v>
      </c>
      <c r="G218" s="251">
        <v>-0.32100000000000001</v>
      </c>
      <c r="H218" s="251">
        <v>-8.6999999999999994E-2</v>
      </c>
      <c r="I218" s="252">
        <v>0</v>
      </c>
      <c r="J218" s="252">
        <v>0</v>
      </c>
      <c r="K218" s="252">
        <v>0</v>
      </c>
      <c r="L218" s="251">
        <v>0.13400000000000001</v>
      </c>
      <c r="M218" s="238"/>
      <c r="N218" s="236"/>
    </row>
    <row r="219" spans="2:14" ht="27" customHeight="1">
      <c r="B219" s="233"/>
      <c r="C219" s="306" t="s">
        <v>1519</v>
      </c>
      <c r="D219" s="238" t="s">
        <v>1766</v>
      </c>
      <c r="E219" s="238"/>
      <c r="F219" s="251">
        <v>-8.3350000000000009</v>
      </c>
      <c r="G219" s="251">
        <v>-0.32100000000000001</v>
      </c>
      <c r="H219" s="251">
        <v>-8.6999999999999994E-2</v>
      </c>
      <c r="I219" s="252">
        <v>0</v>
      </c>
      <c r="J219" s="252">
        <v>0</v>
      </c>
      <c r="K219" s="252">
        <v>0</v>
      </c>
      <c r="L219" s="251">
        <v>0</v>
      </c>
      <c r="M219" s="238"/>
      <c r="N219" s="236"/>
    </row>
    <row r="220" spans="2:14" ht="27" customHeight="1">
      <c r="B220" s="233"/>
      <c r="C220" s="306" t="s">
        <v>74</v>
      </c>
      <c r="D220" s="238">
        <v>521</v>
      </c>
      <c r="E220" s="238"/>
      <c r="F220" s="251">
        <v>-0.42699999999999999</v>
      </c>
      <c r="G220" s="251">
        <v>0</v>
      </c>
      <c r="H220" s="251">
        <v>0</v>
      </c>
      <c r="I220" s="252">
        <v>46.13</v>
      </c>
      <c r="J220" s="252">
        <v>0</v>
      </c>
      <c r="K220" s="252">
        <v>0</v>
      </c>
      <c r="L220" s="251">
        <v>0.10299999999999999</v>
      </c>
      <c r="M220" s="238"/>
      <c r="N220" s="236"/>
    </row>
    <row r="221" spans="2:14" ht="27" customHeight="1">
      <c r="B221" s="233"/>
      <c r="C221" s="306" t="s">
        <v>1520</v>
      </c>
      <c r="D221" s="238" t="s">
        <v>1766</v>
      </c>
      <c r="E221" s="238"/>
      <c r="F221" s="251">
        <v>-0.42699999999999999</v>
      </c>
      <c r="G221" s="251">
        <v>0</v>
      </c>
      <c r="H221" s="251">
        <v>0</v>
      </c>
      <c r="I221" s="252">
        <v>46.13</v>
      </c>
      <c r="J221" s="252">
        <v>0</v>
      </c>
      <c r="K221" s="252">
        <v>0</v>
      </c>
      <c r="L221" s="251">
        <v>0</v>
      </c>
      <c r="M221" s="238"/>
      <c r="N221" s="236"/>
    </row>
    <row r="222" spans="2:14" ht="27" customHeight="1">
      <c r="B222" s="233"/>
      <c r="C222" s="306" t="s">
        <v>75</v>
      </c>
      <c r="D222" s="238">
        <v>524</v>
      </c>
      <c r="E222" s="238"/>
      <c r="F222" s="251">
        <v>-5.798</v>
      </c>
      <c r="G222" s="251">
        <v>-0.13900000000000001</v>
      </c>
      <c r="H222" s="251">
        <v>-4.9000000000000002E-2</v>
      </c>
      <c r="I222" s="252">
        <v>46.13</v>
      </c>
      <c r="J222" s="252">
        <v>0</v>
      </c>
      <c r="K222" s="252">
        <v>0</v>
      </c>
      <c r="L222" s="251">
        <v>0.10299999999999999</v>
      </c>
      <c r="M222" s="238"/>
      <c r="N222" s="236"/>
    </row>
    <row r="223" spans="2:14" ht="27" customHeight="1">
      <c r="B223" s="233"/>
      <c r="C223" s="306" t="s">
        <v>1521</v>
      </c>
      <c r="D223" s="238" t="s">
        <v>1766</v>
      </c>
      <c r="E223" s="238"/>
      <c r="F223" s="251">
        <v>-5.798</v>
      </c>
      <c r="G223" s="251">
        <v>-0.13900000000000001</v>
      </c>
      <c r="H223" s="251">
        <v>-4.9000000000000002E-2</v>
      </c>
      <c r="I223" s="252">
        <v>46.13</v>
      </c>
      <c r="J223" s="252">
        <v>0</v>
      </c>
      <c r="K223" s="252">
        <v>0</v>
      </c>
      <c r="L223" s="251">
        <v>0</v>
      </c>
      <c r="M223" s="238"/>
      <c r="N223" s="236"/>
    </row>
    <row r="224" spans="2:14" ht="27" customHeight="1">
      <c r="B224" s="233"/>
      <c r="C224" s="306" t="s">
        <v>109</v>
      </c>
      <c r="D224" s="238">
        <v>20300</v>
      </c>
      <c r="E224" s="238">
        <v>1</v>
      </c>
      <c r="F224" s="251">
        <v>1.8049999999999999</v>
      </c>
      <c r="G224" s="251">
        <v>0</v>
      </c>
      <c r="H224" s="251">
        <v>0</v>
      </c>
      <c r="I224" s="252">
        <v>3.44</v>
      </c>
      <c r="J224" s="252">
        <v>0</v>
      </c>
      <c r="K224" s="252">
        <v>0</v>
      </c>
      <c r="L224" s="251">
        <v>0</v>
      </c>
      <c r="M224" s="238"/>
      <c r="N224" s="236"/>
    </row>
    <row r="225" spans="2:14" ht="27" customHeight="1">
      <c r="B225" s="233"/>
      <c r="C225" s="306" t="s">
        <v>112</v>
      </c>
      <c r="D225" s="238">
        <v>20301</v>
      </c>
      <c r="E225" s="238">
        <v>2</v>
      </c>
      <c r="F225" s="251">
        <v>2.032</v>
      </c>
      <c r="G225" s="251">
        <v>0.96199999999999997</v>
      </c>
      <c r="H225" s="251">
        <v>0</v>
      </c>
      <c r="I225" s="252">
        <v>3.44</v>
      </c>
      <c r="J225" s="252">
        <v>0</v>
      </c>
      <c r="K225" s="252">
        <v>0</v>
      </c>
      <c r="L225" s="251">
        <v>0</v>
      </c>
      <c r="M225" s="238"/>
      <c r="N225" s="236"/>
    </row>
    <row r="226" spans="2:14" ht="27" customHeight="1">
      <c r="B226" s="233"/>
      <c r="C226" s="306" t="s">
        <v>115</v>
      </c>
      <c r="D226" s="238">
        <v>20302</v>
      </c>
      <c r="E226" s="238">
        <v>2</v>
      </c>
      <c r="F226" s="251">
        <v>0.94899999999999995</v>
      </c>
      <c r="G226" s="251">
        <v>0</v>
      </c>
      <c r="H226" s="251">
        <v>0</v>
      </c>
      <c r="I226" s="252">
        <v>0</v>
      </c>
      <c r="J226" s="252">
        <v>0</v>
      </c>
      <c r="K226" s="252">
        <v>0</v>
      </c>
      <c r="L226" s="251">
        <v>0</v>
      </c>
      <c r="M226" s="238"/>
      <c r="N226" s="236"/>
    </row>
    <row r="227" spans="2:14" ht="27" customHeight="1">
      <c r="B227" s="233"/>
      <c r="C227" s="306" t="s">
        <v>118</v>
      </c>
      <c r="D227" s="238">
        <v>20303</v>
      </c>
      <c r="E227" s="238">
        <v>3</v>
      </c>
      <c r="F227" s="251">
        <v>1.6459999999999999</v>
      </c>
      <c r="G227" s="251">
        <v>0</v>
      </c>
      <c r="H227" s="251">
        <v>0</v>
      </c>
      <c r="I227" s="252">
        <v>5.56</v>
      </c>
      <c r="J227" s="252">
        <v>0</v>
      </c>
      <c r="K227" s="252">
        <v>0</v>
      </c>
      <c r="L227" s="251">
        <v>0</v>
      </c>
      <c r="M227" s="238"/>
      <c r="N227" s="236"/>
    </row>
    <row r="228" spans="2:14" ht="27" customHeight="1">
      <c r="B228" s="233"/>
      <c r="C228" s="306" t="s">
        <v>121</v>
      </c>
      <c r="D228" s="238">
        <v>20304</v>
      </c>
      <c r="E228" s="238">
        <v>4</v>
      </c>
      <c r="F228" s="251">
        <v>1.78</v>
      </c>
      <c r="G228" s="251">
        <v>0.95899999999999996</v>
      </c>
      <c r="H228" s="251">
        <v>0</v>
      </c>
      <c r="I228" s="252">
        <v>5.56</v>
      </c>
      <c r="J228" s="252">
        <v>0</v>
      </c>
      <c r="K228" s="252">
        <v>0</v>
      </c>
      <c r="L228" s="251">
        <v>0</v>
      </c>
      <c r="M228" s="238"/>
      <c r="N228" s="236"/>
    </row>
    <row r="229" spans="2:14" ht="27" customHeight="1">
      <c r="B229" s="233"/>
      <c r="C229" s="306" t="s">
        <v>124</v>
      </c>
      <c r="D229" s="238">
        <v>20305</v>
      </c>
      <c r="E229" s="238">
        <v>4</v>
      </c>
      <c r="F229" s="251">
        <v>0.95499999999999996</v>
      </c>
      <c r="G229" s="251">
        <v>0</v>
      </c>
      <c r="H229" s="251">
        <v>0</v>
      </c>
      <c r="I229" s="252">
        <v>0</v>
      </c>
      <c r="J229" s="252">
        <v>0</v>
      </c>
      <c r="K229" s="252">
        <v>0</v>
      </c>
      <c r="L229" s="251">
        <v>0</v>
      </c>
      <c r="M229" s="238"/>
      <c r="N229" s="236"/>
    </row>
    <row r="230" spans="2:14" ht="27" customHeight="1">
      <c r="B230" s="233"/>
      <c r="C230" s="306" t="s">
        <v>127</v>
      </c>
      <c r="D230" s="238">
        <v>20306</v>
      </c>
      <c r="E230" s="238" t="s">
        <v>929</v>
      </c>
      <c r="F230" s="251">
        <v>1.6859999999999999</v>
      </c>
      <c r="G230" s="251">
        <v>0.94099999999999995</v>
      </c>
      <c r="H230" s="251">
        <v>0</v>
      </c>
      <c r="I230" s="252">
        <v>24.66</v>
      </c>
      <c r="J230" s="252">
        <v>0</v>
      </c>
      <c r="K230" s="252">
        <v>0</v>
      </c>
      <c r="L230" s="251">
        <v>0</v>
      </c>
      <c r="M230" s="238"/>
      <c r="N230" s="236"/>
    </row>
    <row r="231" spans="2:14" ht="27" customHeight="1">
      <c r="B231" s="233"/>
      <c r="C231" s="306" t="s">
        <v>1175</v>
      </c>
      <c r="D231" s="238">
        <v>20307</v>
      </c>
      <c r="E231" s="238"/>
      <c r="F231" s="251">
        <v>9.2949999999999999</v>
      </c>
      <c r="G231" s="251">
        <v>1.2090000000000001</v>
      </c>
      <c r="H231" s="251">
        <v>0.95299999999999996</v>
      </c>
      <c r="I231" s="252">
        <v>3.44</v>
      </c>
      <c r="J231" s="252">
        <v>0</v>
      </c>
      <c r="K231" s="252">
        <v>0</v>
      </c>
      <c r="L231" s="251">
        <v>0</v>
      </c>
      <c r="M231" s="238"/>
      <c r="N231" s="236"/>
    </row>
    <row r="232" spans="2:14" ht="27" customHeight="1">
      <c r="B232" s="233"/>
      <c r="C232" s="306" t="s">
        <v>1174</v>
      </c>
      <c r="D232" s="238">
        <v>20308</v>
      </c>
      <c r="E232" s="238"/>
      <c r="F232" s="251">
        <v>9.4619999999999997</v>
      </c>
      <c r="G232" s="251">
        <v>1.216</v>
      </c>
      <c r="H232" s="251">
        <v>0.95399999999999996</v>
      </c>
      <c r="I232" s="252">
        <v>5.56</v>
      </c>
      <c r="J232" s="252">
        <v>0</v>
      </c>
      <c r="K232" s="252">
        <v>0</v>
      </c>
      <c r="L232" s="251">
        <v>0</v>
      </c>
      <c r="M232" s="238"/>
      <c r="N232" s="236"/>
    </row>
    <row r="233" spans="2:14" ht="27" customHeight="1">
      <c r="B233" s="233"/>
      <c r="C233" s="306" t="s">
        <v>132</v>
      </c>
      <c r="D233" s="238">
        <v>20309</v>
      </c>
      <c r="E233" s="238"/>
      <c r="F233" s="251">
        <v>6.907</v>
      </c>
      <c r="G233" s="251">
        <v>1.083</v>
      </c>
      <c r="H233" s="251">
        <v>0.92300000000000004</v>
      </c>
      <c r="I233" s="252">
        <v>7.85</v>
      </c>
      <c r="J233" s="252">
        <v>2.0299999999999998</v>
      </c>
      <c r="K233" s="252">
        <v>4.62</v>
      </c>
      <c r="L233" s="251">
        <v>0.10100000000000001</v>
      </c>
      <c r="M233" s="238"/>
      <c r="N233" s="236"/>
    </row>
    <row r="234" spans="2:14" ht="27" customHeight="1">
      <c r="B234" s="233"/>
      <c r="C234" s="306" t="s">
        <v>139</v>
      </c>
      <c r="D234" s="238">
        <v>20310</v>
      </c>
      <c r="E234" s="238">
        <v>8</v>
      </c>
      <c r="F234" s="251">
        <v>1.9870000000000001</v>
      </c>
      <c r="G234" s="251">
        <v>0</v>
      </c>
      <c r="H234" s="251">
        <v>0</v>
      </c>
      <c r="I234" s="252">
        <v>0</v>
      </c>
      <c r="J234" s="252">
        <v>0</v>
      </c>
      <c r="K234" s="252">
        <v>0</v>
      </c>
      <c r="L234" s="251">
        <v>0</v>
      </c>
      <c r="M234" s="238"/>
      <c r="N234" s="236"/>
    </row>
    <row r="235" spans="2:14" ht="27" customHeight="1">
      <c r="B235" s="233"/>
      <c r="C235" s="306" t="s">
        <v>142</v>
      </c>
      <c r="D235" s="238">
        <v>20311</v>
      </c>
      <c r="E235" s="238">
        <v>1</v>
      </c>
      <c r="F235" s="251">
        <v>2.238</v>
      </c>
      <c r="G235" s="251">
        <v>0</v>
      </c>
      <c r="H235" s="251">
        <v>0</v>
      </c>
      <c r="I235" s="252">
        <v>0</v>
      </c>
      <c r="J235" s="252">
        <v>0</v>
      </c>
      <c r="K235" s="252">
        <v>0</v>
      </c>
      <c r="L235" s="251">
        <v>0</v>
      </c>
      <c r="M235" s="238"/>
      <c r="N235" s="236"/>
    </row>
    <row r="236" spans="2:14" ht="27" customHeight="1">
      <c r="B236" s="233"/>
      <c r="C236" s="306" t="s">
        <v>145</v>
      </c>
      <c r="D236" s="238">
        <v>20312</v>
      </c>
      <c r="E236" s="238">
        <v>1</v>
      </c>
      <c r="F236" s="251">
        <v>2.8220000000000001</v>
      </c>
      <c r="G236" s="251">
        <v>0</v>
      </c>
      <c r="H236" s="251">
        <v>0</v>
      </c>
      <c r="I236" s="252">
        <v>0</v>
      </c>
      <c r="J236" s="252">
        <v>0</v>
      </c>
      <c r="K236" s="252">
        <v>0</v>
      </c>
      <c r="L236" s="251">
        <v>0</v>
      </c>
      <c r="M236" s="238"/>
      <c r="N236" s="236"/>
    </row>
    <row r="237" spans="2:14" ht="27" customHeight="1">
      <c r="B237" s="233"/>
      <c r="C237" s="306" t="s">
        <v>148</v>
      </c>
      <c r="D237" s="238">
        <v>20313</v>
      </c>
      <c r="E237" s="238">
        <v>1</v>
      </c>
      <c r="F237" s="251">
        <v>1.7450000000000001</v>
      </c>
      <c r="G237" s="251">
        <v>0</v>
      </c>
      <c r="H237" s="251">
        <v>0</v>
      </c>
      <c r="I237" s="252">
        <v>0</v>
      </c>
      <c r="J237" s="252">
        <v>0</v>
      </c>
      <c r="K237" s="252">
        <v>0</v>
      </c>
      <c r="L237" s="251">
        <v>0</v>
      </c>
      <c r="M237" s="238"/>
      <c r="N237" s="236"/>
    </row>
    <row r="238" spans="2:14" ht="27" customHeight="1">
      <c r="B238" s="233"/>
      <c r="C238" s="306" t="s">
        <v>151</v>
      </c>
      <c r="D238" s="238">
        <v>20314</v>
      </c>
      <c r="E238" s="238"/>
      <c r="F238" s="251">
        <v>22.617000000000001</v>
      </c>
      <c r="G238" s="251">
        <v>1.7749999999999999</v>
      </c>
      <c r="H238" s="251">
        <v>1.502</v>
      </c>
      <c r="I238" s="252">
        <v>0</v>
      </c>
      <c r="J238" s="252">
        <v>0</v>
      </c>
      <c r="K238" s="252">
        <v>0</v>
      </c>
      <c r="L238" s="251">
        <v>0</v>
      </c>
      <c r="M238" s="238"/>
      <c r="N238" s="236"/>
    </row>
    <row r="239" spans="2:14" ht="27" customHeight="1">
      <c r="B239" s="233"/>
      <c r="C239" s="306" t="s">
        <v>1173</v>
      </c>
      <c r="D239" s="238">
        <v>20315</v>
      </c>
      <c r="E239" s="238" t="s">
        <v>1169</v>
      </c>
      <c r="F239" s="251">
        <v>-0.74099999999999999</v>
      </c>
      <c r="G239" s="251">
        <v>0</v>
      </c>
      <c r="H239" s="251">
        <v>0</v>
      </c>
      <c r="I239" s="252">
        <v>0</v>
      </c>
      <c r="J239" s="252">
        <v>0</v>
      </c>
      <c r="K239" s="252">
        <v>0</v>
      </c>
      <c r="L239" s="251">
        <v>0</v>
      </c>
      <c r="M239" s="238"/>
      <c r="N239" s="236"/>
    </row>
    <row r="240" spans="2:14" ht="27" customHeight="1">
      <c r="B240" s="233"/>
      <c r="C240" s="306" t="s">
        <v>156</v>
      </c>
      <c r="D240" s="238">
        <v>20316</v>
      </c>
      <c r="E240" s="238"/>
      <c r="F240" s="251">
        <v>-0.74099999999999999</v>
      </c>
      <c r="G240" s="251">
        <v>0</v>
      </c>
      <c r="H240" s="251">
        <v>0</v>
      </c>
      <c r="I240" s="252">
        <v>0</v>
      </c>
      <c r="J240" s="252">
        <v>0</v>
      </c>
      <c r="K240" s="252">
        <v>0</v>
      </c>
      <c r="L240" s="251">
        <v>0.16</v>
      </c>
      <c r="M240" s="238"/>
      <c r="N240" s="236"/>
    </row>
    <row r="241" spans="2:14" ht="27" customHeight="1">
      <c r="B241" s="233"/>
      <c r="C241" s="306" t="s">
        <v>159</v>
      </c>
      <c r="D241" s="238">
        <v>20317</v>
      </c>
      <c r="E241" s="238"/>
      <c r="F241" s="251">
        <v>-9.0730000000000004</v>
      </c>
      <c r="G241" s="251">
        <v>-0.374</v>
      </c>
      <c r="H241" s="251">
        <v>-9.8000000000000004E-2</v>
      </c>
      <c r="I241" s="252">
        <v>0</v>
      </c>
      <c r="J241" s="252">
        <v>0</v>
      </c>
      <c r="K241" s="252">
        <v>0</v>
      </c>
      <c r="L241" s="251">
        <v>0.16</v>
      </c>
      <c r="M241" s="238"/>
      <c r="N241" s="236"/>
    </row>
    <row r="242" spans="2:14" ht="27" customHeight="1">
      <c r="B242" s="233"/>
      <c r="C242" s="306" t="s">
        <v>110</v>
      </c>
      <c r="D242" s="238">
        <v>20318</v>
      </c>
      <c r="E242" s="238">
        <v>1</v>
      </c>
      <c r="F242" s="251">
        <v>1.097</v>
      </c>
      <c r="G242" s="251">
        <v>0</v>
      </c>
      <c r="H242" s="251">
        <v>0</v>
      </c>
      <c r="I242" s="252">
        <v>2.09</v>
      </c>
      <c r="J242" s="252">
        <v>0</v>
      </c>
      <c r="K242" s="252">
        <v>0</v>
      </c>
      <c r="L242" s="251">
        <v>0</v>
      </c>
      <c r="M242" s="238"/>
      <c r="N242" s="236"/>
    </row>
    <row r="243" spans="2:14" ht="27" customHeight="1">
      <c r="B243" s="233"/>
      <c r="C243" s="306" t="s">
        <v>113</v>
      </c>
      <c r="D243" s="238">
        <v>20319</v>
      </c>
      <c r="E243" s="238">
        <v>2</v>
      </c>
      <c r="F243" s="251">
        <v>1.2350000000000001</v>
      </c>
      <c r="G243" s="251">
        <v>0.58399999999999996</v>
      </c>
      <c r="H243" s="251">
        <v>0</v>
      </c>
      <c r="I243" s="252">
        <v>2.09</v>
      </c>
      <c r="J243" s="252">
        <v>0</v>
      </c>
      <c r="K243" s="252">
        <v>0</v>
      </c>
      <c r="L243" s="251">
        <v>0</v>
      </c>
      <c r="M243" s="238"/>
      <c r="N243" s="236"/>
    </row>
    <row r="244" spans="2:14" ht="27" customHeight="1">
      <c r="B244" s="233"/>
      <c r="C244" s="306" t="s">
        <v>116</v>
      </c>
      <c r="D244" s="238">
        <v>20320</v>
      </c>
      <c r="E244" s="238">
        <v>2</v>
      </c>
      <c r="F244" s="251">
        <v>0.57699999999999996</v>
      </c>
      <c r="G244" s="251">
        <v>0</v>
      </c>
      <c r="H244" s="251">
        <v>0</v>
      </c>
      <c r="I244" s="252">
        <v>0</v>
      </c>
      <c r="J244" s="252">
        <v>0</v>
      </c>
      <c r="K244" s="252">
        <v>0</v>
      </c>
      <c r="L244" s="251">
        <v>0</v>
      </c>
      <c r="M244" s="238"/>
      <c r="N244" s="236"/>
    </row>
    <row r="245" spans="2:14" ht="27" customHeight="1">
      <c r="B245" s="233"/>
      <c r="C245" s="306" t="s">
        <v>119</v>
      </c>
      <c r="D245" s="238">
        <v>20321</v>
      </c>
      <c r="E245" s="238">
        <v>3</v>
      </c>
      <c r="F245" s="251">
        <v>1</v>
      </c>
      <c r="G245" s="251">
        <v>0</v>
      </c>
      <c r="H245" s="251">
        <v>0</v>
      </c>
      <c r="I245" s="252">
        <v>3.38</v>
      </c>
      <c r="J245" s="252">
        <v>0</v>
      </c>
      <c r="K245" s="252">
        <v>0</v>
      </c>
      <c r="L245" s="251">
        <v>0</v>
      </c>
      <c r="M245" s="238"/>
      <c r="N245" s="236"/>
    </row>
    <row r="246" spans="2:14" ht="27" customHeight="1">
      <c r="B246" s="233"/>
      <c r="C246" s="306" t="s">
        <v>122</v>
      </c>
      <c r="D246" s="238">
        <v>20322</v>
      </c>
      <c r="E246" s="238">
        <v>4</v>
      </c>
      <c r="F246" s="251">
        <v>1.0820000000000001</v>
      </c>
      <c r="G246" s="251">
        <v>0.58199999999999996</v>
      </c>
      <c r="H246" s="251">
        <v>0</v>
      </c>
      <c r="I246" s="252">
        <v>3.38</v>
      </c>
      <c r="J246" s="252">
        <v>0</v>
      </c>
      <c r="K246" s="252">
        <v>0</v>
      </c>
      <c r="L246" s="251">
        <v>0</v>
      </c>
      <c r="M246" s="238"/>
      <c r="N246" s="236"/>
    </row>
    <row r="247" spans="2:14" ht="27" customHeight="1">
      <c r="B247" s="233"/>
      <c r="C247" s="306" t="s">
        <v>125</v>
      </c>
      <c r="D247" s="238">
        <v>20323</v>
      </c>
      <c r="E247" s="238">
        <v>4</v>
      </c>
      <c r="F247" s="251">
        <v>0.57999999999999996</v>
      </c>
      <c r="G247" s="251">
        <v>0</v>
      </c>
      <c r="H247" s="251">
        <v>0</v>
      </c>
      <c r="I247" s="252">
        <v>0</v>
      </c>
      <c r="J247" s="252">
        <v>0</v>
      </c>
      <c r="K247" s="252">
        <v>0</v>
      </c>
      <c r="L247" s="251">
        <v>0</v>
      </c>
      <c r="M247" s="238"/>
      <c r="N247" s="236"/>
    </row>
    <row r="248" spans="2:14" ht="27" customHeight="1">
      <c r="B248" s="233"/>
      <c r="C248" s="306" t="s">
        <v>128</v>
      </c>
      <c r="D248" s="238">
        <v>20324</v>
      </c>
      <c r="E248" s="238" t="s">
        <v>929</v>
      </c>
      <c r="F248" s="251">
        <v>1.024</v>
      </c>
      <c r="G248" s="251">
        <v>0.57199999999999995</v>
      </c>
      <c r="H248" s="251">
        <v>0</v>
      </c>
      <c r="I248" s="252">
        <v>14.98</v>
      </c>
      <c r="J248" s="252">
        <v>0</v>
      </c>
      <c r="K248" s="252">
        <v>0</v>
      </c>
      <c r="L248" s="251">
        <v>0</v>
      </c>
      <c r="M248" s="238"/>
      <c r="N248" s="236"/>
    </row>
    <row r="249" spans="2:14" ht="27" customHeight="1">
      <c r="B249" s="233"/>
      <c r="C249" s="306" t="s">
        <v>1172</v>
      </c>
      <c r="D249" s="238">
        <v>20325</v>
      </c>
      <c r="E249" s="238"/>
      <c r="F249" s="251">
        <v>5.6479999999999997</v>
      </c>
      <c r="G249" s="251">
        <v>0.73499999999999999</v>
      </c>
      <c r="H249" s="251">
        <v>0.57899999999999996</v>
      </c>
      <c r="I249" s="252">
        <v>2.09</v>
      </c>
      <c r="J249" s="252">
        <v>0</v>
      </c>
      <c r="K249" s="252">
        <v>0</v>
      </c>
      <c r="L249" s="251">
        <v>0</v>
      </c>
      <c r="M249" s="238"/>
      <c r="N249" s="236"/>
    </row>
    <row r="250" spans="2:14" ht="27" customHeight="1">
      <c r="B250" s="233"/>
      <c r="C250" s="306" t="s">
        <v>1171</v>
      </c>
      <c r="D250" s="238">
        <v>20326</v>
      </c>
      <c r="E250" s="238"/>
      <c r="F250" s="251">
        <v>5.75</v>
      </c>
      <c r="G250" s="251">
        <v>0.73899999999999999</v>
      </c>
      <c r="H250" s="251">
        <v>0.57999999999999996</v>
      </c>
      <c r="I250" s="252">
        <v>3.38</v>
      </c>
      <c r="J250" s="252">
        <v>0</v>
      </c>
      <c r="K250" s="252">
        <v>0</v>
      </c>
      <c r="L250" s="251">
        <v>0</v>
      </c>
      <c r="M250" s="238"/>
      <c r="N250" s="236"/>
    </row>
    <row r="251" spans="2:14" ht="27" customHeight="1">
      <c r="B251" s="233"/>
      <c r="C251" s="306" t="s">
        <v>133</v>
      </c>
      <c r="D251" s="238">
        <v>20327</v>
      </c>
      <c r="E251" s="238"/>
      <c r="F251" s="251">
        <v>4.1970000000000001</v>
      </c>
      <c r="G251" s="251">
        <v>0.65800000000000003</v>
      </c>
      <c r="H251" s="251">
        <v>0.56100000000000005</v>
      </c>
      <c r="I251" s="252">
        <v>4.7699999999999996</v>
      </c>
      <c r="J251" s="252">
        <v>1.24</v>
      </c>
      <c r="K251" s="252">
        <v>2.81</v>
      </c>
      <c r="L251" s="251">
        <v>6.0999999999999999E-2</v>
      </c>
      <c r="M251" s="238"/>
      <c r="N251" s="236"/>
    </row>
    <row r="252" spans="2:14" ht="27" customHeight="1">
      <c r="B252" s="233"/>
      <c r="C252" s="306" t="s">
        <v>135</v>
      </c>
      <c r="D252" s="238">
        <v>20328</v>
      </c>
      <c r="E252" s="238"/>
      <c r="F252" s="251">
        <v>5.5309999999999997</v>
      </c>
      <c r="G252" s="251">
        <v>0.98799999999999999</v>
      </c>
      <c r="H252" s="251">
        <v>0.90100000000000002</v>
      </c>
      <c r="I252" s="252">
        <v>6.03</v>
      </c>
      <c r="J252" s="252">
        <v>2.17</v>
      </c>
      <c r="K252" s="252">
        <v>4.46</v>
      </c>
      <c r="L252" s="251">
        <v>7.0999999999999994E-2</v>
      </c>
      <c r="M252" s="238"/>
      <c r="N252" s="236"/>
    </row>
    <row r="253" spans="2:14" ht="27" customHeight="1">
      <c r="B253" s="233"/>
      <c r="C253" s="306" t="s">
        <v>137</v>
      </c>
      <c r="D253" s="238">
        <v>20329</v>
      </c>
      <c r="E253" s="238"/>
      <c r="F253" s="251">
        <v>5.1269999999999998</v>
      </c>
      <c r="G253" s="251">
        <v>1.0960000000000001</v>
      </c>
      <c r="H253" s="251">
        <v>1.05</v>
      </c>
      <c r="I253" s="252">
        <v>70.930000000000007</v>
      </c>
      <c r="J253" s="252">
        <v>2.19</v>
      </c>
      <c r="K253" s="252">
        <v>5.35</v>
      </c>
      <c r="L253" s="251">
        <v>5.7000000000000002E-2</v>
      </c>
      <c r="M253" s="238"/>
      <c r="N253" s="236"/>
    </row>
    <row r="254" spans="2:14" ht="27" customHeight="1">
      <c r="B254" s="233"/>
      <c r="C254" s="306" t="s">
        <v>140</v>
      </c>
      <c r="D254" s="238">
        <v>20330</v>
      </c>
      <c r="E254" s="238">
        <v>8</v>
      </c>
      <c r="F254" s="251">
        <v>1.208</v>
      </c>
      <c r="G254" s="251">
        <v>0</v>
      </c>
      <c r="H254" s="251">
        <v>0</v>
      </c>
      <c r="I254" s="252">
        <v>0</v>
      </c>
      <c r="J254" s="252">
        <v>0</v>
      </c>
      <c r="K254" s="252">
        <v>0</v>
      </c>
      <c r="L254" s="251">
        <v>0</v>
      </c>
      <c r="M254" s="238"/>
      <c r="N254" s="236"/>
    </row>
    <row r="255" spans="2:14" ht="27" customHeight="1">
      <c r="B255" s="233"/>
      <c r="C255" s="306" t="s">
        <v>143</v>
      </c>
      <c r="D255" s="238">
        <v>20331</v>
      </c>
      <c r="E255" s="238">
        <v>1</v>
      </c>
      <c r="F255" s="251">
        <v>1.36</v>
      </c>
      <c r="G255" s="251">
        <v>0</v>
      </c>
      <c r="H255" s="251">
        <v>0</v>
      </c>
      <c r="I255" s="252">
        <v>0</v>
      </c>
      <c r="J255" s="252">
        <v>0</v>
      </c>
      <c r="K255" s="252">
        <v>0</v>
      </c>
      <c r="L255" s="251">
        <v>0</v>
      </c>
      <c r="M255" s="238"/>
      <c r="N255" s="236"/>
    </row>
    <row r="256" spans="2:14" ht="27" customHeight="1">
      <c r="B256" s="233"/>
      <c r="C256" s="306" t="s">
        <v>146</v>
      </c>
      <c r="D256" s="238">
        <v>20332</v>
      </c>
      <c r="E256" s="238">
        <v>1</v>
      </c>
      <c r="F256" s="251">
        <v>1.7150000000000001</v>
      </c>
      <c r="G256" s="251">
        <v>0</v>
      </c>
      <c r="H256" s="251">
        <v>0</v>
      </c>
      <c r="I256" s="252">
        <v>0</v>
      </c>
      <c r="J256" s="252">
        <v>0</v>
      </c>
      <c r="K256" s="252">
        <v>0</v>
      </c>
      <c r="L256" s="251">
        <v>0</v>
      </c>
      <c r="M256" s="238"/>
      <c r="N256" s="236"/>
    </row>
    <row r="257" spans="2:14" ht="27" customHeight="1">
      <c r="B257" s="233"/>
      <c r="C257" s="306" t="s">
        <v>149</v>
      </c>
      <c r="D257" s="238">
        <v>20333</v>
      </c>
      <c r="E257" s="238">
        <v>1</v>
      </c>
      <c r="F257" s="251">
        <v>1.06</v>
      </c>
      <c r="G257" s="251">
        <v>0</v>
      </c>
      <c r="H257" s="251">
        <v>0</v>
      </c>
      <c r="I257" s="252">
        <v>0</v>
      </c>
      <c r="J257" s="252">
        <v>0</v>
      </c>
      <c r="K257" s="252">
        <v>0</v>
      </c>
      <c r="L257" s="251">
        <v>0</v>
      </c>
      <c r="M257" s="238"/>
      <c r="N257" s="236"/>
    </row>
    <row r="258" spans="2:14" ht="27" customHeight="1">
      <c r="B258" s="233"/>
      <c r="C258" s="306" t="s">
        <v>152</v>
      </c>
      <c r="D258" s="238">
        <v>20334</v>
      </c>
      <c r="E258" s="238"/>
      <c r="F258" s="251">
        <v>13.743</v>
      </c>
      <c r="G258" s="251">
        <v>1.079</v>
      </c>
      <c r="H258" s="251">
        <v>0.91300000000000003</v>
      </c>
      <c r="I258" s="252">
        <v>0</v>
      </c>
      <c r="J258" s="252">
        <v>0</v>
      </c>
      <c r="K258" s="252">
        <v>0</v>
      </c>
      <c r="L258" s="251">
        <v>0</v>
      </c>
      <c r="M258" s="238"/>
      <c r="N258" s="236"/>
    </row>
    <row r="259" spans="2:14" ht="27" customHeight="1">
      <c r="B259" s="233"/>
      <c r="C259" s="306" t="s">
        <v>1170</v>
      </c>
      <c r="D259" s="238">
        <v>20335</v>
      </c>
      <c r="E259" s="238" t="s">
        <v>1169</v>
      </c>
      <c r="F259" s="251">
        <v>-0.74099999999999999</v>
      </c>
      <c r="G259" s="251">
        <v>0</v>
      </c>
      <c r="H259" s="251">
        <v>0</v>
      </c>
      <c r="I259" s="252">
        <v>0</v>
      </c>
      <c r="J259" s="252">
        <v>0</v>
      </c>
      <c r="K259" s="252">
        <v>0</v>
      </c>
      <c r="L259" s="251">
        <v>0</v>
      </c>
      <c r="M259" s="238"/>
      <c r="N259" s="236"/>
    </row>
    <row r="260" spans="2:14" ht="27" customHeight="1">
      <c r="B260" s="233"/>
      <c r="C260" s="306" t="s">
        <v>154</v>
      </c>
      <c r="D260" s="238">
        <v>20336</v>
      </c>
      <c r="E260" s="238">
        <v>8</v>
      </c>
      <c r="F260" s="251">
        <v>-0.67</v>
      </c>
      <c r="G260" s="251">
        <v>0</v>
      </c>
      <c r="H260" s="251">
        <v>0</v>
      </c>
      <c r="I260" s="252">
        <v>0</v>
      </c>
      <c r="J260" s="252">
        <v>0</v>
      </c>
      <c r="K260" s="252">
        <v>0</v>
      </c>
      <c r="L260" s="251">
        <v>0</v>
      </c>
      <c r="M260" s="238"/>
      <c r="N260" s="236"/>
    </row>
    <row r="261" spans="2:14" ht="27" customHeight="1">
      <c r="B261" s="233"/>
      <c r="C261" s="306" t="s">
        <v>157</v>
      </c>
      <c r="D261" s="238">
        <v>20337</v>
      </c>
      <c r="E261" s="238"/>
      <c r="F261" s="251">
        <v>-0.74099999999999999</v>
      </c>
      <c r="G261" s="251">
        <v>0</v>
      </c>
      <c r="H261" s="251">
        <v>0</v>
      </c>
      <c r="I261" s="252">
        <v>0</v>
      </c>
      <c r="J261" s="252">
        <v>0</v>
      </c>
      <c r="K261" s="252">
        <v>0</v>
      </c>
      <c r="L261" s="251">
        <v>0.16</v>
      </c>
      <c r="M261" s="238"/>
      <c r="N261" s="236"/>
    </row>
    <row r="262" spans="2:14" ht="27" customHeight="1">
      <c r="B262" s="233"/>
      <c r="C262" s="306" t="s">
        <v>160</v>
      </c>
      <c r="D262" s="238">
        <v>20338</v>
      </c>
      <c r="E262" s="238"/>
      <c r="F262" s="251">
        <v>-9.0730000000000004</v>
      </c>
      <c r="G262" s="251">
        <v>-0.374</v>
      </c>
      <c r="H262" s="251">
        <v>-9.8000000000000004E-2</v>
      </c>
      <c r="I262" s="252">
        <v>0</v>
      </c>
      <c r="J262" s="252">
        <v>0</v>
      </c>
      <c r="K262" s="252">
        <v>0</v>
      </c>
      <c r="L262" s="251">
        <v>0.16</v>
      </c>
      <c r="M262" s="238"/>
      <c r="N262" s="236"/>
    </row>
    <row r="263" spans="2:14" ht="27" customHeight="1">
      <c r="B263" s="233"/>
      <c r="C263" s="306" t="s">
        <v>162</v>
      </c>
      <c r="D263" s="238">
        <v>20339</v>
      </c>
      <c r="E263" s="238"/>
      <c r="F263" s="251">
        <v>-0.67</v>
      </c>
      <c r="G263" s="251">
        <v>0</v>
      </c>
      <c r="H263" s="251">
        <v>0</v>
      </c>
      <c r="I263" s="252">
        <v>0</v>
      </c>
      <c r="J263" s="252">
        <v>0</v>
      </c>
      <c r="K263" s="252">
        <v>0</v>
      </c>
      <c r="L263" s="251">
        <v>0.13400000000000001</v>
      </c>
      <c r="M263" s="238"/>
      <c r="N263" s="236"/>
    </row>
    <row r="264" spans="2:14" ht="27" customHeight="1">
      <c r="B264" s="233"/>
      <c r="C264" s="306" t="s">
        <v>164</v>
      </c>
      <c r="D264" s="238">
        <v>20340</v>
      </c>
      <c r="E264" s="238"/>
      <c r="F264" s="251">
        <v>-8.3350000000000009</v>
      </c>
      <c r="G264" s="251">
        <v>-0.32100000000000001</v>
      </c>
      <c r="H264" s="251">
        <v>-8.6999999999999994E-2</v>
      </c>
      <c r="I264" s="252">
        <v>0</v>
      </c>
      <c r="J264" s="252">
        <v>0</v>
      </c>
      <c r="K264" s="252">
        <v>0</v>
      </c>
      <c r="L264" s="251">
        <v>0.13400000000000001</v>
      </c>
      <c r="M264" s="238"/>
      <c r="N264" s="236"/>
    </row>
    <row r="265" spans="2:14" ht="27" customHeight="1">
      <c r="B265" s="233"/>
      <c r="C265" s="306" t="s">
        <v>166</v>
      </c>
      <c r="D265" s="238">
        <v>20341</v>
      </c>
      <c r="E265" s="238"/>
      <c r="F265" s="251">
        <v>-0.42699999999999999</v>
      </c>
      <c r="G265" s="251">
        <v>0</v>
      </c>
      <c r="H265" s="251">
        <v>0</v>
      </c>
      <c r="I265" s="252">
        <v>0</v>
      </c>
      <c r="J265" s="252">
        <v>0</v>
      </c>
      <c r="K265" s="252">
        <v>0</v>
      </c>
      <c r="L265" s="251">
        <v>0.10299999999999999</v>
      </c>
      <c r="M265" s="238"/>
      <c r="N265" s="236"/>
    </row>
    <row r="266" spans="2:14" ht="27" customHeight="1">
      <c r="B266" s="233"/>
      <c r="C266" s="306" t="s">
        <v>168</v>
      </c>
      <c r="D266" s="238">
        <v>20342</v>
      </c>
      <c r="E266" s="238"/>
      <c r="F266" s="251">
        <v>-5.798</v>
      </c>
      <c r="G266" s="251">
        <v>-0.13900000000000001</v>
      </c>
      <c r="H266" s="251">
        <v>-4.9000000000000002E-2</v>
      </c>
      <c r="I266" s="252">
        <v>0</v>
      </c>
      <c r="J266" s="252">
        <v>0</v>
      </c>
      <c r="K266" s="252">
        <v>0</v>
      </c>
      <c r="L266" s="251">
        <v>0.10299999999999999</v>
      </c>
      <c r="M266" s="238"/>
      <c r="N266" s="236"/>
    </row>
    <row r="267" spans="2:14" ht="27" customHeight="1" thickBot="1">
      <c r="B267" s="239"/>
      <c r="C267" s="240"/>
      <c r="D267" s="240"/>
      <c r="E267" s="240"/>
      <c r="F267" s="240"/>
      <c r="G267" s="240"/>
      <c r="H267" s="240"/>
      <c r="I267" s="240"/>
      <c r="J267" s="240"/>
      <c r="K267" s="240"/>
      <c r="L267" s="240"/>
      <c r="M267" s="240"/>
      <c r="N267" s="241"/>
    </row>
    <row r="268" spans="2:14" ht="27" customHeight="1"/>
    <row r="269" spans="2:14" ht="27" customHeight="1"/>
    <row r="270" spans="2:14" ht="27" customHeight="1" thickBot="1"/>
    <row r="271" spans="2:14" ht="27" customHeight="1">
      <c r="B271" s="229"/>
      <c r="C271" s="230"/>
      <c r="D271" s="231"/>
      <c r="E271" s="231"/>
      <c r="F271" s="231"/>
      <c r="G271" s="231"/>
      <c r="H271" s="231"/>
      <c r="I271" s="231"/>
      <c r="J271" s="231"/>
      <c r="K271" s="231"/>
      <c r="L271" s="231"/>
      <c r="M271" s="231"/>
      <c r="N271" s="232"/>
    </row>
    <row r="272" spans="2:14" ht="27" customHeight="1">
      <c r="B272" s="233"/>
      <c r="C272" s="234" t="str">
        <f>"Tariffs for Charging Year: "&amp; " "&amp;D9&amp;""</f>
        <v>Tariffs for Charging Year:  2021/22</v>
      </c>
      <c r="D272" s="234"/>
      <c r="E272" s="234"/>
      <c r="F272" s="234"/>
      <c r="G272" s="234"/>
      <c r="H272" s="234"/>
      <c r="I272" s="235"/>
      <c r="J272" s="235"/>
      <c r="K272" s="235"/>
      <c r="L272" s="235"/>
      <c r="M272" s="235"/>
      <c r="N272" s="236"/>
    </row>
    <row r="273" spans="2:14" ht="27" customHeight="1">
      <c r="B273" s="233"/>
      <c r="C273" s="220"/>
      <c r="D273" s="235"/>
      <c r="E273" s="235"/>
      <c r="F273" s="235"/>
      <c r="G273" s="235"/>
      <c r="H273" s="235"/>
      <c r="I273" s="235"/>
      <c r="J273" s="235"/>
      <c r="K273" s="235"/>
      <c r="L273" s="235"/>
      <c r="M273" s="235"/>
      <c r="N273" s="236"/>
    </row>
    <row r="274" spans="2:14" ht="27" customHeight="1">
      <c r="B274" s="233"/>
      <c r="C274" s="220"/>
      <c r="D274" s="235"/>
      <c r="E274" s="235"/>
      <c r="F274" s="235"/>
      <c r="G274" s="235"/>
      <c r="H274" s="235"/>
      <c r="I274" s="235"/>
      <c r="J274" s="235"/>
      <c r="K274" s="235"/>
      <c r="L274" s="235"/>
      <c r="M274" s="235"/>
      <c r="N274" s="236"/>
    </row>
    <row r="275" spans="2:14" ht="27" customHeight="1">
      <c r="B275" s="233"/>
      <c r="C275" s="237"/>
      <c r="D275" s="209" t="s">
        <v>926</v>
      </c>
      <c r="E275" s="209" t="s">
        <v>927</v>
      </c>
      <c r="F275" s="209" t="s">
        <v>858</v>
      </c>
      <c r="G275" s="209" t="s">
        <v>859</v>
      </c>
      <c r="H275" s="209" t="s">
        <v>860</v>
      </c>
      <c r="I275" s="209" t="s">
        <v>861</v>
      </c>
      <c r="J275" s="209" t="s">
        <v>862</v>
      </c>
      <c r="K275" s="209" t="s">
        <v>1515</v>
      </c>
      <c r="L275" s="209" t="s">
        <v>720</v>
      </c>
      <c r="M275" s="209" t="s">
        <v>928</v>
      </c>
      <c r="N275" s="236"/>
    </row>
    <row r="276" spans="2:14" ht="27" customHeight="1">
      <c r="B276" s="233"/>
      <c r="C276" s="306" t="s">
        <v>54</v>
      </c>
      <c r="D276" s="238" t="s">
        <v>1764</v>
      </c>
      <c r="E276" s="238">
        <v>1</v>
      </c>
      <c r="F276" s="251">
        <v>2.944</v>
      </c>
      <c r="G276" s="251">
        <v>0</v>
      </c>
      <c r="H276" s="251">
        <v>0</v>
      </c>
      <c r="I276" s="252">
        <v>5.64</v>
      </c>
      <c r="J276" s="252">
        <v>0</v>
      </c>
      <c r="K276" s="252">
        <v>0</v>
      </c>
      <c r="L276" s="251">
        <v>0</v>
      </c>
      <c r="M276" s="238"/>
      <c r="N276" s="236"/>
    </row>
    <row r="277" spans="2:14" ht="27" customHeight="1">
      <c r="B277" s="233"/>
      <c r="C277" s="306" t="s">
        <v>55</v>
      </c>
      <c r="D277" s="238" t="s">
        <v>1765</v>
      </c>
      <c r="E277" s="238">
        <v>2</v>
      </c>
      <c r="F277" s="251">
        <v>3.3159999999999998</v>
      </c>
      <c r="G277" s="251">
        <v>1.5589999999999999</v>
      </c>
      <c r="H277" s="251">
        <v>0</v>
      </c>
      <c r="I277" s="252">
        <v>5.64</v>
      </c>
      <c r="J277" s="252">
        <v>0</v>
      </c>
      <c r="K277" s="252">
        <v>0</v>
      </c>
      <c r="L277" s="251">
        <v>0</v>
      </c>
      <c r="M277" s="238"/>
      <c r="N277" s="236"/>
    </row>
    <row r="278" spans="2:14" ht="27" customHeight="1">
      <c r="B278" s="233"/>
      <c r="C278" s="306" t="s">
        <v>91</v>
      </c>
      <c r="D278" s="238">
        <v>430</v>
      </c>
      <c r="E278" s="238">
        <v>2</v>
      </c>
      <c r="F278" s="251">
        <v>1.538</v>
      </c>
      <c r="G278" s="251">
        <v>0</v>
      </c>
      <c r="H278" s="251">
        <v>0</v>
      </c>
      <c r="I278" s="252">
        <v>0</v>
      </c>
      <c r="J278" s="252">
        <v>0</v>
      </c>
      <c r="K278" s="252">
        <v>0</v>
      </c>
      <c r="L278" s="251">
        <v>0</v>
      </c>
      <c r="M278" s="238"/>
      <c r="N278" s="236"/>
    </row>
    <row r="279" spans="2:14" ht="27" customHeight="1">
      <c r="B279" s="233"/>
      <c r="C279" s="306" t="s">
        <v>56</v>
      </c>
      <c r="D279" s="238">
        <v>110</v>
      </c>
      <c r="E279" s="238">
        <v>3</v>
      </c>
      <c r="F279" s="251">
        <v>2.6829999999999998</v>
      </c>
      <c r="G279" s="251">
        <v>0</v>
      </c>
      <c r="H279" s="251">
        <v>0</v>
      </c>
      <c r="I279" s="252">
        <v>9.1300000000000008</v>
      </c>
      <c r="J279" s="252">
        <v>0</v>
      </c>
      <c r="K279" s="252">
        <v>0</v>
      </c>
      <c r="L279" s="251">
        <v>0</v>
      </c>
      <c r="M279" s="238"/>
      <c r="N279" s="236"/>
    </row>
    <row r="280" spans="2:14" ht="27" customHeight="1">
      <c r="B280" s="233"/>
      <c r="C280" s="306" t="s">
        <v>57</v>
      </c>
      <c r="D280" s="238">
        <v>210</v>
      </c>
      <c r="E280" s="238">
        <v>4</v>
      </c>
      <c r="F280" s="251">
        <v>2.903</v>
      </c>
      <c r="G280" s="251">
        <v>1.5529999999999999</v>
      </c>
      <c r="H280" s="251">
        <v>0</v>
      </c>
      <c r="I280" s="252">
        <v>9.1300000000000008</v>
      </c>
      <c r="J280" s="252">
        <v>0</v>
      </c>
      <c r="K280" s="252">
        <v>0</v>
      </c>
      <c r="L280" s="251">
        <v>0</v>
      </c>
      <c r="M280" s="238"/>
      <c r="N280" s="236"/>
    </row>
    <row r="281" spans="2:14" ht="27" customHeight="1">
      <c r="B281" s="233"/>
      <c r="C281" s="306" t="s">
        <v>92</v>
      </c>
      <c r="D281" s="238">
        <v>251</v>
      </c>
      <c r="E281" s="238">
        <v>4</v>
      </c>
      <c r="F281" s="251">
        <v>1.5469999999999999</v>
      </c>
      <c r="G281" s="251">
        <v>0</v>
      </c>
      <c r="H281" s="251">
        <v>0</v>
      </c>
      <c r="I281" s="252">
        <v>0</v>
      </c>
      <c r="J281" s="252">
        <v>0</v>
      </c>
      <c r="K281" s="252">
        <v>0</v>
      </c>
      <c r="L281" s="251">
        <v>0</v>
      </c>
      <c r="M281" s="238"/>
      <c r="N281" s="236"/>
    </row>
    <row r="282" spans="2:14" ht="27" customHeight="1">
      <c r="B282" s="233"/>
      <c r="C282" s="306" t="s">
        <v>58</v>
      </c>
      <c r="D282" s="238">
        <v>570</v>
      </c>
      <c r="E282" s="238" t="s">
        <v>929</v>
      </c>
      <c r="F282" s="251">
        <v>2.7480000000000002</v>
      </c>
      <c r="G282" s="251">
        <v>1.5249999999999999</v>
      </c>
      <c r="H282" s="251">
        <v>0</v>
      </c>
      <c r="I282" s="252">
        <v>40.54</v>
      </c>
      <c r="J282" s="252">
        <v>0</v>
      </c>
      <c r="K282" s="252">
        <v>0</v>
      </c>
      <c r="L282" s="251">
        <v>0</v>
      </c>
      <c r="M282" s="238"/>
      <c r="N282" s="236"/>
    </row>
    <row r="283" spans="2:14" ht="27" customHeight="1">
      <c r="B283" s="233"/>
      <c r="C283" s="306" t="s">
        <v>59</v>
      </c>
      <c r="D283" s="238">
        <v>540</v>
      </c>
      <c r="E283" s="238" t="s">
        <v>929</v>
      </c>
      <c r="F283" s="251">
        <v>2.6080000000000001</v>
      </c>
      <c r="G283" s="251">
        <v>1.5109999999999999</v>
      </c>
      <c r="H283" s="251">
        <v>0</v>
      </c>
      <c r="I283" s="252">
        <v>28.11</v>
      </c>
      <c r="J283" s="252">
        <v>0</v>
      </c>
      <c r="K283" s="252">
        <v>0</v>
      </c>
      <c r="L283" s="251">
        <v>0</v>
      </c>
      <c r="M283" s="238"/>
      <c r="N283" s="236"/>
    </row>
    <row r="284" spans="2:14" ht="27" customHeight="1">
      <c r="B284" s="233"/>
      <c r="C284" s="306" t="s">
        <v>72</v>
      </c>
      <c r="D284" s="238">
        <v>510</v>
      </c>
      <c r="E284" s="238" t="s">
        <v>929</v>
      </c>
      <c r="F284" s="251">
        <v>2.11</v>
      </c>
      <c r="G284" s="251">
        <v>1.452</v>
      </c>
      <c r="H284" s="251">
        <v>0</v>
      </c>
      <c r="I284" s="252">
        <v>188.54</v>
      </c>
      <c r="J284" s="252">
        <v>0</v>
      </c>
      <c r="K284" s="252">
        <v>0</v>
      </c>
      <c r="L284" s="251">
        <v>0</v>
      </c>
      <c r="M284" s="238"/>
      <c r="N284" s="236"/>
    </row>
    <row r="285" spans="2:14" ht="27" customHeight="1">
      <c r="B285" s="233"/>
      <c r="C285" s="306" t="s">
        <v>1178</v>
      </c>
      <c r="D285" s="238">
        <v>202</v>
      </c>
      <c r="E285" s="238"/>
      <c r="F285" s="251">
        <v>15.243</v>
      </c>
      <c r="G285" s="251">
        <v>1.9650000000000001</v>
      </c>
      <c r="H285" s="251">
        <v>1.544</v>
      </c>
      <c r="I285" s="252">
        <v>5.64</v>
      </c>
      <c r="J285" s="252">
        <v>0</v>
      </c>
      <c r="K285" s="252">
        <v>0</v>
      </c>
      <c r="L285" s="251">
        <v>0</v>
      </c>
      <c r="M285" s="238"/>
      <c r="N285" s="236"/>
    </row>
    <row r="286" spans="2:14" ht="27" customHeight="1">
      <c r="B286" s="233"/>
      <c r="C286" s="306" t="s">
        <v>1177</v>
      </c>
      <c r="D286" s="238">
        <v>203</v>
      </c>
      <c r="E286" s="238"/>
      <c r="F286" s="251">
        <v>15.516999999999999</v>
      </c>
      <c r="G286" s="251">
        <v>1.976</v>
      </c>
      <c r="H286" s="251">
        <v>1.5469999999999999</v>
      </c>
      <c r="I286" s="252">
        <v>9.1300000000000008</v>
      </c>
      <c r="J286" s="252">
        <v>0</v>
      </c>
      <c r="K286" s="252">
        <v>0</v>
      </c>
      <c r="L286" s="251">
        <v>0</v>
      </c>
      <c r="M286" s="238"/>
      <c r="N286" s="236"/>
    </row>
    <row r="287" spans="2:14" ht="27" customHeight="1">
      <c r="B287" s="233"/>
      <c r="C287" s="306" t="s">
        <v>60</v>
      </c>
      <c r="D287" s="238">
        <v>570</v>
      </c>
      <c r="E287" s="238"/>
      <c r="F287" s="251">
        <v>11.323</v>
      </c>
      <c r="G287" s="251">
        <v>1.758</v>
      </c>
      <c r="H287" s="251">
        <v>1.4950000000000001</v>
      </c>
      <c r="I287" s="252">
        <v>12.88</v>
      </c>
      <c r="J287" s="252">
        <v>3.33</v>
      </c>
      <c r="K287" s="252">
        <v>7.59</v>
      </c>
      <c r="L287" s="251">
        <v>0.16600000000000001</v>
      </c>
      <c r="M287" s="238"/>
      <c r="N287" s="236"/>
    </row>
    <row r="288" spans="2:14" ht="27" customHeight="1">
      <c r="B288" s="233"/>
      <c r="C288" s="306" t="s">
        <v>61</v>
      </c>
      <c r="D288" s="238">
        <v>540</v>
      </c>
      <c r="E288" s="238"/>
      <c r="F288" s="251">
        <v>9.0980000000000008</v>
      </c>
      <c r="G288" s="251">
        <v>1.609</v>
      </c>
      <c r="H288" s="251">
        <v>1.4630000000000001</v>
      </c>
      <c r="I288" s="252">
        <v>9.92</v>
      </c>
      <c r="J288" s="252">
        <v>3.57</v>
      </c>
      <c r="K288" s="252">
        <v>7.34</v>
      </c>
      <c r="L288" s="251">
        <v>0.11700000000000001</v>
      </c>
      <c r="M288" s="238"/>
      <c r="N288" s="236"/>
    </row>
    <row r="289" spans="2:14" ht="27" customHeight="1">
      <c r="B289" s="233"/>
      <c r="C289" s="306" t="s">
        <v>73</v>
      </c>
      <c r="D289" s="238">
        <v>510</v>
      </c>
      <c r="E289" s="238"/>
      <c r="F289" s="251">
        <v>7.1059999999999999</v>
      </c>
      <c r="G289" s="251">
        <v>1.502</v>
      </c>
      <c r="H289" s="251">
        <v>1.4390000000000001</v>
      </c>
      <c r="I289" s="252">
        <v>98.39</v>
      </c>
      <c r="J289" s="252">
        <v>3.03</v>
      </c>
      <c r="K289" s="252">
        <v>7.45</v>
      </c>
      <c r="L289" s="251">
        <v>7.9000000000000001E-2</v>
      </c>
      <c r="M289" s="238"/>
      <c r="N289" s="236"/>
    </row>
    <row r="290" spans="2:14" ht="27" customHeight="1">
      <c r="B290" s="233"/>
      <c r="C290" s="306" t="s">
        <v>93</v>
      </c>
      <c r="D290" s="238">
        <v>977</v>
      </c>
      <c r="E290" s="238">
        <v>8</v>
      </c>
      <c r="F290" s="251">
        <v>3.2429999999999999</v>
      </c>
      <c r="G290" s="251">
        <v>0</v>
      </c>
      <c r="H290" s="251">
        <v>0</v>
      </c>
      <c r="I290" s="252">
        <v>0</v>
      </c>
      <c r="J290" s="252">
        <v>0</v>
      </c>
      <c r="K290" s="252">
        <v>0</v>
      </c>
      <c r="L290" s="251">
        <v>0</v>
      </c>
      <c r="M290" s="238"/>
      <c r="N290" s="236"/>
    </row>
    <row r="291" spans="2:14" ht="27" customHeight="1">
      <c r="B291" s="233"/>
      <c r="C291" s="306" t="s">
        <v>94</v>
      </c>
      <c r="D291" s="238">
        <v>980</v>
      </c>
      <c r="E291" s="238">
        <v>1</v>
      </c>
      <c r="F291" s="251">
        <v>3.6520000000000001</v>
      </c>
      <c r="G291" s="251">
        <v>0</v>
      </c>
      <c r="H291" s="251">
        <v>0</v>
      </c>
      <c r="I291" s="252">
        <v>0</v>
      </c>
      <c r="J291" s="252">
        <v>0</v>
      </c>
      <c r="K291" s="252">
        <v>0</v>
      </c>
      <c r="L291" s="251">
        <v>0</v>
      </c>
      <c r="M291" s="238"/>
      <c r="N291" s="236"/>
    </row>
    <row r="292" spans="2:14" ht="27" customHeight="1">
      <c r="B292" s="233"/>
      <c r="C292" s="306" t="s">
        <v>95</v>
      </c>
      <c r="D292" s="238">
        <v>978</v>
      </c>
      <c r="E292" s="238">
        <v>1</v>
      </c>
      <c r="F292" s="251">
        <v>4.6120000000000001</v>
      </c>
      <c r="G292" s="251">
        <v>0</v>
      </c>
      <c r="H292" s="251">
        <v>0</v>
      </c>
      <c r="I292" s="252">
        <v>0</v>
      </c>
      <c r="J292" s="252">
        <v>0</v>
      </c>
      <c r="K292" s="252">
        <v>0</v>
      </c>
      <c r="L292" s="251">
        <v>0</v>
      </c>
      <c r="M292" s="238"/>
      <c r="N292" s="236"/>
    </row>
    <row r="293" spans="2:14" ht="27" customHeight="1">
      <c r="B293" s="233"/>
      <c r="C293" s="306" t="s">
        <v>96</v>
      </c>
      <c r="D293" s="238">
        <v>979</v>
      </c>
      <c r="E293" s="238">
        <v>1</v>
      </c>
      <c r="F293" s="251">
        <v>2.847</v>
      </c>
      <c r="G293" s="251">
        <v>0</v>
      </c>
      <c r="H293" s="251">
        <v>0</v>
      </c>
      <c r="I293" s="252">
        <v>0</v>
      </c>
      <c r="J293" s="252">
        <v>0</v>
      </c>
      <c r="K293" s="252">
        <v>0</v>
      </c>
      <c r="L293" s="251">
        <v>0</v>
      </c>
      <c r="M293" s="238"/>
      <c r="N293" s="236"/>
    </row>
    <row r="294" spans="2:14" ht="27" customHeight="1">
      <c r="B294" s="233"/>
      <c r="C294" s="306" t="s">
        <v>97</v>
      </c>
      <c r="D294" s="238">
        <v>970</v>
      </c>
      <c r="E294" s="238"/>
      <c r="F294" s="251">
        <v>37.11</v>
      </c>
      <c r="G294" s="251">
        <v>2.899</v>
      </c>
      <c r="H294" s="251">
        <v>2.444</v>
      </c>
      <c r="I294" s="252">
        <v>0</v>
      </c>
      <c r="J294" s="252">
        <v>0</v>
      </c>
      <c r="K294" s="252">
        <v>0</v>
      </c>
      <c r="L294" s="251">
        <v>0</v>
      </c>
      <c r="M294" s="238"/>
      <c r="N294" s="236"/>
    </row>
    <row r="295" spans="2:14" ht="27" customHeight="1">
      <c r="B295" s="233"/>
      <c r="C295" s="306" t="s">
        <v>1176</v>
      </c>
      <c r="D295" s="238">
        <v>581</v>
      </c>
      <c r="E295" s="238" t="s">
        <v>1169</v>
      </c>
      <c r="F295" s="251">
        <v>-0.76400000000000001</v>
      </c>
      <c r="G295" s="251">
        <v>0</v>
      </c>
      <c r="H295" s="251">
        <v>0</v>
      </c>
      <c r="I295" s="252">
        <v>0</v>
      </c>
      <c r="J295" s="252">
        <v>0</v>
      </c>
      <c r="K295" s="252">
        <v>0</v>
      </c>
      <c r="L295" s="251">
        <v>0</v>
      </c>
      <c r="M295" s="238"/>
      <c r="N295" s="236"/>
    </row>
    <row r="296" spans="2:14" ht="27" customHeight="1">
      <c r="B296" s="233"/>
      <c r="C296" s="306" t="s">
        <v>62</v>
      </c>
      <c r="D296" s="238">
        <v>551</v>
      </c>
      <c r="E296" s="238">
        <v>8</v>
      </c>
      <c r="F296" s="251">
        <v>-0.69099999999999995</v>
      </c>
      <c r="G296" s="251">
        <v>0</v>
      </c>
      <c r="H296" s="251">
        <v>0</v>
      </c>
      <c r="I296" s="252">
        <v>0</v>
      </c>
      <c r="J296" s="252">
        <v>0</v>
      </c>
      <c r="K296" s="252">
        <v>0</v>
      </c>
      <c r="L296" s="251">
        <v>0</v>
      </c>
      <c r="M296" s="238"/>
      <c r="N296" s="236"/>
    </row>
    <row r="297" spans="2:14" ht="27" customHeight="1">
      <c r="B297" s="233"/>
      <c r="C297" s="306" t="s">
        <v>63</v>
      </c>
      <c r="D297" s="238">
        <v>581</v>
      </c>
      <c r="E297" s="238"/>
      <c r="F297" s="251">
        <v>-0.76400000000000001</v>
      </c>
      <c r="G297" s="251">
        <v>0</v>
      </c>
      <c r="H297" s="251">
        <v>0</v>
      </c>
      <c r="I297" s="252">
        <v>0</v>
      </c>
      <c r="J297" s="252">
        <v>0</v>
      </c>
      <c r="K297" s="252">
        <v>0</v>
      </c>
      <c r="L297" s="251">
        <v>0.16500000000000001</v>
      </c>
      <c r="M297" s="238"/>
      <c r="N297" s="236"/>
    </row>
    <row r="298" spans="2:14" ht="27" customHeight="1">
      <c r="B298" s="233"/>
      <c r="C298" s="306" t="s">
        <v>1516</v>
      </c>
      <c r="D298" s="238" t="s">
        <v>1766</v>
      </c>
      <c r="E298" s="238"/>
      <c r="F298" s="251">
        <v>-0.76400000000000001</v>
      </c>
      <c r="G298" s="251">
        <v>0</v>
      </c>
      <c r="H298" s="251">
        <v>0</v>
      </c>
      <c r="I298" s="252">
        <v>0</v>
      </c>
      <c r="J298" s="252">
        <v>0</v>
      </c>
      <c r="K298" s="252">
        <v>0</v>
      </c>
      <c r="L298" s="251">
        <v>0</v>
      </c>
      <c r="M298" s="238"/>
      <c r="N298" s="236"/>
    </row>
    <row r="299" spans="2:14" ht="27" customHeight="1">
      <c r="B299" s="233"/>
      <c r="C299" s="306" t="s">
        <v>64</v>
      </c>
      <c r="D299" s="238">
        <v>527</v>
      </c>
      <c r="E299" s="238"/>
      <c r="F299" s="251">
        <v>-9.3460000000000001</v>
      </c>
      <c r="G299" s="251">
        <v>-0.38500000000000001</v>
      </c>
      <c r="H299" s="251">
        <v>-0.10100000000000001</v>
      </c>
      <c r="I299" s="252">
        <v>0</v>
      </c>
      <c r="J299" s="252">
        <v>0</v>
      </c>
      <c r="K299" s="252">
        <v>0</v>
      </c>
      <c r="L299" s="251">
        <v>0.16500000000000001</v>
      </c>
      <c r="M299" s="238"/>
      <c r="N299" s="236"/>
    </row>
    <row r="300" spans="2:14" ht="27" customHeight="1">
      <c r="B300" s="233"/>
      <c r="C300" s="306" t="s">
        <v>1517</v>
      </c>
      <c r="D300" s="238" t="s">
        <v>1766</v>
      </c>
      <c r="E300" s="238"/>
      <c r="F300" s="251">
        <v>-9.3460000000000001</v>
      </c>
      <c r="G300" s="251">
        <v>-0.38500000000000001</v>
      </c>
      <c r="H300" s="251">
        <v>-0.10100000000000001</v>
      </c>
      <c r="I300" s="252">
        <v>0</v>
      </c>
      <c r="J300" s="252">
        <v>0</v>
      </c>
      <c r="K300" s="252">
        <v>0</v>
      </c>
      <c r="L300" s="251">
        <v>0</v>
      </c>
      <c r="M300" s="238"/>
      <c r="N300" s="236"/>
    </row>
    <row r="301" spans="2:14" ht="27" customHeight="1">
      <c r="B301" s="233"/>
      <c r="C301" s="306" t="s">
        <v>65</v>
      </c>
      <c r="D301" s="238">
        <v>551</v>
      </c>
      <c r="E301" s="238"/>
      <c r="F301" s="251">
        <v>-0.69099999999999995</v>
      </c>
      <c r="G301" s="251">
        <v>0</v>
      </c>
      <c r="H301" s="251">
        <v>0</v>
      </c>
      <c r="I301" s="252">
        <v>0</v>
      </c>
      <c r="J301" s="252">
        <v>0</v>
      </c>
      <c r="K301" s="252">
        <v>0</v>
      </c>
      <c r="L301" s="251">
        <v>0.13800000000000001</v>
      </c>
      <c r="M301" s="238"/>
      <c r="N301" s="236"/>
    </row>
    <row r="302" spans="2:14" ht="27" customHeight="1">
      <c r="B302" s="233"/>
      <c r="C302" s="306" t="s">
        <v>1518</v>
      </c>
      <c r="D302" s="238" t="s">
        <v>1766</v>
      </c>
      <c r="E302" s="238"/>
      <c r="F302" s="251">
        <v>-0.69099999999999995</v>
      </c>
      <c r="G302" s="251">
        <v>0</v>
      </c>
      <c r="H302" s="251">
        <v>0</v>
      </c>
      <c r="I302" s="252">
        <v>0</v>
      </c>
      <c r="J302" s="252">
        <v>0</v>
      </c>
      <c r="K302" s="252">
        <v>0</v>
      </c>
      <c r="L302" s="251">
        <v>0</v>
      </c>
      <c r="M302" s="238"/>
      <c r="N302" s="236"/>
    </row>
    <row r="303" spans="2:14" ht="27" customHeight="1">
      <c r="B303" s="233"/>
      <c r="C303" s="306" t="s">
        <v>66</v>
      </c>
      <c r="D303" s="238">
        <v>526</v>
      </c>
      <c r="E303" s="238"/>
      <c r="F303" s="251">
        <v>-8.5869999999999997</v>
      </c>
      <c r="G303" s="251">
        <v>-0.33</v>
      </c>
      <c r="H303" s="251">
        <v>-0.09</v>
      </c>
      <c r="I303" s="252">
        <v>0</v>
      </c>
      <c r="J303" s="252">
        <v>0</v>
      </c>
      <c r="K303" s="252">
        <v>0</v>
      </c>
      <c r="L303" s="251">
        <v>0.13800000000000001</v>
      </c>
      <c r="M303" s="238"/>
      <c r="N303" s="236"/>
    </row>
    <row r="304" spans="2:14" ht="27" customHeight="1">
      <c r="B304" s="233"/>
      <c r="C304" s="306" t="s">
        <v>1519</v>
      </c>
      <c r="D304" s="238" t="s">
        <v>1766</v>
      </c>
      <c r="E304" s="238"/>
      <c r="F304" s="251">
        <v>-8.5869999999999997</v>
      </c>
      <c r="G304" s="251">
        <v>-0.33</v>
      </c>
      <c r="H304" s="251">
        <v>-0.09</v>
      </c>
      <c r="I304" s="252">
        <v>0</v>
      </c>
      <c r="J304" s="252">
        <v>0</v>
      </c>
      <c r="K304" s="252">
        <v>0</v>
      </c>
      <c r="L304" s="251">
        <v>0</v>
      </c>
      <c r="M304" s="238"/>
      <c r="N304" s="236"/>
    </row>
    <row r="305" spans="2:14" ht="27" customHeight="1">
      <c r="B305" s="233"/>
      <c r="C305" s="306" t="s">
        <v>74</v>
      </c>
      <c r="D305" s="238">
        <v>521</v>
      </c>
      <c r="E305" s="238"/>
      <c r="F305" s="251">
        <v>-0.44</v>
      </c>
      <c r="G305" s="251">
        <v>0</v>
      </c>
      <c r="H305" s="251">
        <v>0</v>
      </c>
      <c r="I305" s="252">
        <v>47.44</v>
      </c>
      <c r="J305" s="252">
        <v>0</v>
      </c>
      <c r="K305" s="252">
        <v>0</v>
      </c>
      <c r="L305" s="251">
        <v>0.106</v>
      </c>
      <c r="M305" s="238"/>
      <c r="N305" s="236"/>
    </row>
    <row r="306" spans="2:14" ht="27" customHeight="1">
      <c r="B306" s="233"/>
      <c r="C306" s="306" t="s">
        <v>1520</v>
      </c>
      <c r="D306" s="238" t="s">
        <v>1766</v>
      </c>
      <c r="E306" s="238"/>
      <c r="F306" s="251">
        <v>-0.44</v>
      </c>
      <c r="G306" s="251">
        <v>0</v>
      </c>
      <c r="H306" s="251">
        <v>0</v>
      </c>
      <c r="I306" s="252">
        <v>47.44</v>
      </c>
      <c r="J306" s="252">
        <v>0</v>
      </c>
      <c r="K306" s="252">
        <v>0</v>
      </c>
      <c r="L306" s="251">
        <v>0</v>
      </c>
      <c r="M306" s="238"/>
      <c r="N306" s="236"/>
    </row>
    <row r="307" spans="2:14" ht="27" customHeight="1">
      <c r="B307" s="233"/>
      <c r="C307" s="306" t="s">
        <v>75</v>
      </c>
      <c r="D307" s="238">
        <v>524</v>
      </c>
      <c r="E307" s="238"/>
      <c r="F307" s="251">
        <v>-5.9740000000000002</v>
      </c>
      <c r="G307" s="251">
        <v>-0.14299999999999999</v>
      </c>
      <c r="H307" s="251">
        <v>-5.0999999999999997E-2</v>
      </c>
      <c r="I307" s="252">
        <v>47.44</v>
      </c>
      <c r="J307" s="252">
        <v>0</v>
      </c>
      <c r="K307" s="252">
        <v>0</v>
      </c>
      <c r="L307" s="251">
        <v>0.106</v>
      </c>
      <c r="M307" s="238"/>
      <c r="N307" s="236"/>
    </row>
    <row r="308" spans="2:14" ht="27" customHeight="1">
      <c r="B308" s="233"/>
      <c r="C308" s="306" t="s">
        <v>1521</v>
      </c>
      <c r="D308" s="238" t="s">
        <v>1766</v>
      </c>
      <c r="E308" s="238"/>
      <c r="F308" s="251">
        <v>-5.9740000000000002</v>
      </c>
      <c r="G308" s="251">
        <v>-0.14299999999999999</v>
      </c>
      <c r="H308" s="251">
        <v>-5.0999999999999997E-2</v>
      </c>
      <c r="I308" s="252">
        <v>47.44</v>
      </c>
      <c r="J308" s="252">
        <v>0</v>
      </c>
      <c r="K308" s="252">
        <v>0</v>
      </c>
      <c r="L308" s="251">
        <v>0</v>
      </c>
      <c r="M308" s="238"/>
      <c r="N308" s="236"/>
    </row>
    <row r="309" spans="2:14" ht="27" customHeight="1">
      <c r="B309" s="233"/>
      <c r="C309" s="306" t="s">
        <v>109</v>
      </c>
      <c r="D309" s="238">
        <v>20300</v>
      </c>
      <c r="E309" s="238">
        <v>1</v>
      </c>
      <c r="F309" s="251">
        <v>1.847</v>
      </c>
      <c r="G309" s="251">
        <v>0</v>
      </c>
      <c r="H309" s="251">
        <v>0</v>
      </c>
      <c r="I309" s="252">
        <v>3.54</v>
      </c>
      <c r="J309" s="252">
        <v>0</v>
      </c>
      <c r="K309" s="252">
        <v>0</v>
      </c>
      <c r="L309" s="251">
        <v>0</v>
      </c>
      <c r="M309" s="238"/>
      <c r="N309" s="236"/>
    </row>
    <row r="310" spans="2:14" ht="27" customHeight="1">
      <c r="B310" s="233"/>
      <c r="C310" s="306" t="s">
        <v>112</v>
      </c>
      <c r="D310" s="238">
        <v>20301</v>
      </c>
      <c r="E310" s="238">
        <v>2</v>
      </c>
      <c r="F310" s="251">
        <v>2.08</v>
      </c>
      <c r="G310" s="251">
        <v>0.97799999999999998</v>
      </c>
      <c r="H310" s="251">
        <v>0</v>
      </c>
      <c r="I310" s="252">
        <v>3.54</v>
      </c>
      <c r="J310" s="252">
        <v>0</v>
      </c>
      <c r="K310" s="252">
        <v>0</v>
      </c>
      <c r="L310" s="251">
        <v>0</v>
      </c>
      <c r="M310" s="238"/>
      <c r="N310" s="236"/>
    </row>
    <row r="311" spans="2:14" ht="27" customHeight="1">
      <c r="B311" s="233"/>
      <c r="C311" s="306" t="s">
        <v>115</v>
      </c>
      <c r="D311" s="238">
        <v>20302</v>
      </c>
      <c r="E311" s="238">
        <v>2</v>
      </c>
      <c r="F311" s="251">
        <v>0.96499999999999997</v>
      </c>
      <c r="G311" s="251">
        <v>0</v>
      </c>
      <c r="H311" s="251">
        <v>0</v>
      </c>
      <c r="I311" s="252">
        <v>0</v>
      </c>
      <c r="J311" s="252">
        <v>0</v>
      </c>
      <c r="K311" s="252">
        <v>0</v>
      </c>
      <c r="L311" s="251">
        <v>0</v>
      </c>
      <c r="M311" s="238"/>
      <c r="N311" s="236"/>
    </row>
    <row r="312" spans="2:14" ht="27" customHeight="1">
      <c r="B312" s="233"/>
      <c r="C312" s="306" t="s">
        <v>118</v>
      </c>
      <c r="D312" s="238">
        <v>20303</v>
      </c>
      <c r="E312" s="238">
        <v>3</v>
      </c>
      <c r="F312" s="251">
        <v>1.6830000000000001</v>
      </c>
      <c r="G312" s="251">
        <v>0</v>
      </c>
      <c r="H312" s="251">
        <v>0</v>
      </c>
      <c r="I312" s="252">
        <v>5.73</v>
      </c>
      <c r="J312" s="252">
        <v>0</v>
      </c>
      <c r="K312" s="252">
        <v>0</v>
      </c>
      <c r="L312" s="251">
        <v>0</v>
      </c>
      <c r="M312" s="238"/>
      <c r="N312" s="236"/>
    </row>
    <row r="313" spans="2:14" ht="27" customHeight="1">
      <c r="B313" s="233"/>
      <c r="C313" s="306" t="s">
        <v>121</v>
      </c>
      <c r="D313" s="238">
        <v>20304</v>
      </c>
      <c r="E313" s="238">
        <v>4</v>
      </c>
      <c r="F313" s="251">
        <v>1.821</v>
      </c>
      <c r="G313" s="251">
        <v>0.97399999999999998</v>
      </c>
      <c r="H313" s="251">
        <v>0</v>
      </c>
      <c r="I313" s="252">
        <v>5.73</v>
      </c>
      <c r="J313" s="252">
        <v>0</v>
      </c>
      <c r="K313" s="252">
        <v>0</v>
      </c>
      <c r="L313" s="251">
        <v>0</v>
      </c>
      <c r="M313" s="238"/>
      <c r="N313" s="236"/>
    </row>
    <row r="314" spans="2:14" ht="27" customHeight="1">
      <c r="B314" s="233"/>
      <c r="C314" s="306" t="s">
        <v>124</v>
      </c>
      <c r="D314" s="238">
        <v>20305</v>
      </c>
      <c r="E314" s="238">
        <v>4</v>
      </c>
      <c r="F314" s="251">
        <v>0.97</v>
      </c>
      <c r="G314" s="251">
        <v>0</v>
      </c>
      <c r="H314" s="251">
        <v>0</v>
      </c>
      <c r="I314" s="252">
        <v>0</v>
      </c>
      <c r="J314" s="252">
        <v>0</v>
      </c>
      <c r="K314" s="252">
        <v>0</v>
      </c>
      <c r="L314" s="251">
        <v>0</v>
      </c>
      <c r="M314" s="238"/>
      <c r="N314" s="236"/>
    </row>
    <row r="315" spans="2:14" ht="27" customHeight="1">
      <c r="B315" s="233"/>
      <c r="C315" s="306" t="s">
        <v>127</v>
      </c>
      <c r="D315" s="238">
        <v>20306</v>
      </c>
      <c r="E315" s="238" t="s">
        <v>929</v>
      </c>
      <c r="F315" s="251">
        <v>1.724</v>
      </c>
      <c r="G315" s="251">
        <v>0.95699999999999996</v>
      </c>
      <c r="H315" s="251">
        <v>0</v>
      </c>
      <c r="I315" s="252">
        <v>25.43</v>
      </c>
      <c r="J315" s="252">
        <v>0</v>
      </c>
      <c r="K315" s="252">
        <v>0</v>
      </c>
      <c r="L315" s="251">
        <v>0</v>
      </c>
      <c r="M315" s="238"/>
      <c r="N315" s="236"/>
    </row>
    <row r="316" spans="2:14" ht="27" customHeight="1">
      <c r="B316" s="233"/>
      <c r="C316" s="306" t="s">
        <v>1175</v>
      </c>
      <c r="D316" s="238">
        <v>20307</v>
      </c>
      <c r="E316" s="238"/>
      <c r="F316" s="251">
        <v>9.5619999999999994</v>
      </c>
      <c r="G316" s="251">
        <v>1.2330000000000001</v>
      </c>
      <c r="H316" s="251">
        <v>0.96899999999999997</v>
      </c>
      <c r="I316" s="252">
        <v>3.54</v>
      </c>
      <c r="J316" s="252">
        <v>0</v>
      </c>
      <c r="K316" s="252">
        <v>0</v>
      </c>
      <c r="L316" s="251">
        <v>0</v>
      </c>
      <c r="M316" s="238"/>
      <c r="N316" s="236"/>
    </row>
    <row r="317" spans="2:14" ht="27" customHeight="1">
      <c r="B317" s="233"/>
      <c r="C317" s="306" t="s">
        <v>1174</v>
      </c>
      <c r="D317" s="238">
        <v>20308</v>
      </c>
      <c r="E317" s="238"/>
      <c r="F317" s="251">
        <v>9.734</v>
      </c>
      <c r="G317" s="251">
        <v>1.24</v>
      </c>
      <c r="H317" s="251">
        <v>0.97</v>
      </c>
      <c r="I317" s="252">
        <v>5.73</v>
      </c>
      <c r="J317" s="252">
        <v>0</v>
      </c>
      <c r="K317" s="252">
        <v>0</v>
      </c>
      <c r="L317" s="251">
        <v>0</v>
      </c>
      <c r="M317" s="238"/>
      <c r="N317" s="236"/>
    </row>
    <row r="318" spans="2:14" ht="27" customHeight="1">
      <c r="B318" s="233"/>
      <c r="C318" s="306" t="s">
        <v>132</v>
      </c>
      <c r="D318" s="238">
        <v>20309</v>
      </c>
      <c r="E318" s="238"/>
      <c r="F318" s="251">
        <v>7.1029999999999998</v>
      </c>
      <c r="G318" s="251">
        <v>1.103</v>
      </c>
      <c r="H318" s="251">
        <v>0.93799999999999994</v>
      </c>
      <c r="I318" s="252">
        <v>8.08</v>
      </c>
      <c r="J318" s="252">
        <v>2.09</v>
      </c>
      <c r="K318" s="252">
        <v>4.76</v>
      </c>
      <c r="L318" s="251">
        <v>0.104</v>
      </c>
      <c r="M318" s="238"/>
      <c r="N318" s="236"/>
    </row>
    <row r="319" spans="2:14" ht="27" customHeight="1">
      <c r="B319" s="233"/>
      <c r="C319" s="306" t="s">
        <v>139</v>
      </c>
      <c r="D319" s="238">
        <v>20310</v>
      </c>
      <c r="E319" s="238">
        <v>8</v>
      </c>
      <c r="F319" s="251">
        <v>2.0339999999999998</v>
      </c>
      <c r="G319" s="251">
        <v>0</v>
      </c>
      <c r="H319" s="251">
        <v>0</v>
      </c>
      <c r="I319" s="252">
        <v>0</v>
      </c>
      <c r="J319" s="252">
        <v>0</v>
      </c>
      <c r="K319" s="252">
        <v>0</v>
      </c>
      <c r="L319" s="251">
        <v>0</v>
      </c>
      <c r="M319" s="238"/>
      <c r="N319" s="236"/>
    </row>
    <row r="320" spans="2:14" ht="27" customHeight="1">
      <c r="B320" s="233"/>
      <c r="C320" s="306" t="s">
        <v>142</v>
      </c>
      <c r="D320" s="238">
        <v>20311</v>
      </c>
      <c r="E320" s="238">
        <v>1</v>
      </c>
      <c r="F320" s="251">
        <v>2.2909999999999999</v>
      </c>
      <c r="G320" s="251">
        <v>0</v>
      </c>
      <c r="H320" s="251">
        <v>0</v>
      </c>
      <c r="I320" s="252">
        <v>0</v>
      </c>
      <c r="J320" s="252">
        <v>0</v>
      </c>
      <c r="K320" s="252">
        <v>0</v>
      </c>
      <c r="L320" s="251">
        <v>0</v>
      </c>
      <c r="M320" s="238"/>
      <c r="N320" s="236"/>
    </row>
    <row r="321" spans="2:14" ht="27" customHeight="1">
      <c r="B321" s="233"/>
      <c r="C321" s="306" t="s">
        <v>145</v>
      </c>
      <c r="D321" s="238">
        <v>20312</v>
      </c>
      <c r="E321" s="238">
        <v>1</v>
      </c>
      <c r="F321" s="251">
        <v>2.8929999999999998</v>
      </c>
      <c r="G321" s="251">
        <v>0</v>
      </c>
      <c r="H321" s="251">
        <v>0</v>
      </c>
      <c r="I321" s="252">
        <v>0</v>
      </c>
      <c r="J321" s="252">
        <v>0</v>
      </c>
      <c r="K321" s="252">
        <v>0</v>
      </c>
      <c r="L321" s="251">
        <v>0</v>
      </c>
      <c r="M321" s="238"/>
      <c r="N321" s="236"/>
    </row>
    <row r="322" spans="2:14" ht="27" customHeight="1">
      <c r="B322" s="233"/>
      <c r="C322" s="306" t="s">
        <v>148</v>
      </c>
      <c r="D322" s="238">
        <v>20313</v>
      </c>
      <c r="E322" s="238">
        <v>1</v>
      </c>
      <c r="F322" s="251">
        <v>1.786</v>
      </c>
      <c r="G322" s="251">
        <v>0</v>
      </c>
      <c r="H322" s="251">
        <v>0</v>
      </c>
      <c r="I322" s="252">
        <v>0</v>
      </c>
      <c r="J322" s="252">
        <v>0</v>
      </c>
      <c r="K322" s="252">
        <v>0</v>
      </c>
      <c r="L322" s="251">
        <v>0</v>
      </c>
      <c r="M322" s="238"/>
      <c r="N322" s="236"/>
    </row>
    <row r="323" spans="2:14" ht="27" customHeight="1">
      <c r="B323" s="233"/>
      <c r="C323" s="306" t="s">
        <v>151</v>
      </c>
      <c r="D323" s="238">
        <v>20314</v>
      </c>
      <c r="E323" s="238"/>
      <c r="F323" s="251">
        <v>23.28</v>
      </c>
      <c r="G323" s="251">
        <v>1.819</v>
      </c>
      <c r="H323" s="251">
        <v>1.5329999999999999</v>
      </c>
      <c r="I323" s="252">
        <v>0</v>
      </c>
      <c r="J323" s="252">
        <v>0</v>
      </c>
      <c r="K323" s="252">
        <v>0</v>
      </c>
      <c r="L323" s="251">
        <v>0</v>
      </c>
      <c r="M323" s="238"/>
      <c r="N323" s="236"/>
    </row>
    <row r="324" spans="2:14" ht="27" customHeight="1">
      <c r="B324" s="233"/>
      <c r="C324" s="306" t="s">
        <v>1173</v>
      </c>
      <c r="D324" s="238">
        <v>20315</v>
      </c>
      <c r="E324" s="238" t="s">
        <v>1169</v>
      </c>
      <c r="F324" s="251">
        <v>-0.76400000000000001</v>
      </c>
      <c r="G324" s="251">
        <v>0</v>
      </c>
      <c r="H324" s="251">
        <v>0</v>
      </c>
      <c r="I324" s="252">
        <v>0</v>
      </c>
      <c r="J324" s="252">
        <v>0</v>
      </c>
      <c r="K324" s="252">
        <v>0</v>
      </c>
      <c r="L324" s="251">
        <v>0</v>
      </c>
      <c r="M324" s="238"/>
      <c r="N324" s="236"/>
    </row>
    <row r="325" spans="2:14" ht="27" customHeight="1">
      <c r="B325" s="233"/>
      <c r="C325" s="306" t="s">
        <v>156</v>
      </c>
      <c r="D325" s="238">
        <v>20316</v>
      </c>
      <c r="E325" s="238"/>
      <c r="F325" s="251">
        <v>-0.76400000000000001</v>
      </c>
      <c r="G325" s="251">
        <v>0</v>
      </c>
      <c r="H325" s="251">
        <v>0</v>
      </c>
      <c r="I325" s="252">
        <v>0</v>
      </c>
      <c r="J325" s="252">
        <v>0</v>
      </c>
      <c r="K325" s="252">
        <v>0</v>
      </c>
      <c r="L325" s="251">
        <v>0.16500000000000001</v>
      </c>
      <c r="M325" s="238"/>
      <c r="N325" s="236"/>
    </row>
    <row r="326" spans="2:14" ht="27" customHeight="1">
      <c r="B326" s="233"/>
      <c r="C326" s="306" t="s">
        <v>159</v>
      </c>
      <c r="D326" s="238">
        <v>20317</v>
      </c>
      <c r="E326" s="238"/>
      <c r="F326" s="251">
        <v>-9.3460000000000001</v>
      </c>
      <c r="G326" s="251">
        <v>-0.38500000000000001</v>
      </c>
      <c r="H326" s="251">
        <v>-0.10100000000000001</v>
      </c>
      <c r="I326" s="252">
        <v>0</v>
      </c>
      <c r="J326" s="252">
        <v>0</v>
      </c>
      <c r="K326" s="252">
        <v>0</v>
      </c>
      <c r="L326" s="251">
        <v>0.16500000000000001</v>
      </c>
      <c r="M326" s="238"/>
      <c r="N326" s="236"/>
    </row>
    <row r="327" spans="2:14" ht="27" customHeight="1">
      <c r="B327" s="233"/>
      <c r="C327" s="306" t="s">
        <v>110</v>
      </c>
      <c r="D327" s="238">
        <v>20318</v>
      </c>
      <c r="E327" s="238">
        <v>1</v>
      </c>
      <c r="F327" s="251">
        <v>1.1220000000000001</v>
      </c>
      <c r="G327" s="251">
        <v>0</v>
      </c>
      <c r="H327" s="251">
        <v>0</v>
      </c>
      <c r="I327" s="252">
        <v>2.15</v>
      </c>
      <c r="J327" s="252">
        <v>0</v>
      </c>
      <c r="K327" s="252">
        <v>0</v>
      </c>
      <c r="L327" s="251">
        <v>0</v>
      </c>
      <c r="M327" s="238"/>
      <c r="N327" s="236"/>
    </row>
    <row r="328" spans="2:14" ht="27" customHeight="1">
      <c r="B328" s="233"/>
      <c r="C328" s="306" t="s">
        <v>113</v>
      </c>
      <c r="D328" s="238">
        <v>20319</v>
      </c>
      <c r="E328" s="238">
        <v>2</v>
      </c>
      <c r="F328" s="251">
        <v>1.264</v>
      </c>
      <c r="G328" s="251">
        <v>0.59399999999999997</v>
      </c>
      <c r="H328" s="251">
        <v>0</v>
      </c>
      <c r="I328" s="252">
        <v>2.15</v>
      </c>
      <c r="J328" s="252">
        <v>0</v>
      </c>
      <c r="K328" s="252">
        <v>0</v>
      </c>
      <c r="L328" s="251">
        <v>0</v>
      </c>
      <c r="M328" s="238"/>
      <c r="N328" s="236"/>
    </row>
    <row r="329" spans="2:14" ht="27" customHeight="1">
      <c r="B329" s="233"/>
      <c r="C329" s="306" t="s">
        <v>116</v>
      </c>
      <c r="D329" s="238">
        <v>20320</v>
      </c>
      <c r="E329" s="238">
        <v>2</v>
      </c>
      <c r="F329" s="251">
        <v>0.58599999999999997</v>
      </c>
      <c r="G329" s="251">
        <v>0</v>
      </c>
      <c r="H329" s="251">
        <v>0</v>
      </c>
      <c r="I329" s="252">
        <v>0</v>
      </c>
      <c r="J329" s="252">
        <v>0</v>
      </c>
      <c r="K329" s="252">
        <v>0</v>
      </c>
      <c r="L329" s="251">
        <v>0</v>
      </c>
      <c r="M329" s="238"/>
      <c r="N329" s="236"/>
    </row>
    <row r="330" spans="2:14" ht="27" customHeight="1">
      <c r="B330" s="233"/>
      <c r="C330" s="306" t="s">
        <v>119</v>
      </c>
      <c r="D330" s="238">
        <v>20321</v>
      </c>
      <c r="E330" s="238">
        <v>3</v>
      </c>
      <c r="F330" s="251">
        <v>1.0229999999999999</v>
      </c>
      <c r="G330" s="251">
        <v>0</v>
      </c>
      <c r="H330" s="251">
        <v>0</v>
      </c>
      <c r="I330" s="252">
        <v>3.48</v>
      </c>
      <c r="J330" s="252">
        <v>0</v>
      </c>
      <c r="K330" s="252">
        <v>0</v>
      </c>
      <c r="L330" s="251">
        <v>0</v>
      </c>
      <c r="M330" s="238"/>
      <c r="N330" s="236"/>
    </row>
    <row r="331" spans="2:14" ht="27" customHeight="1">
      <c r="B331" s="233"/>
      <c r="C331" s="306" t="s">
        <v>122</v>
      </c>
      <c r="D331" s="238">
        <v>20322</v>
      </c>
      <c r="E331" s="238">
        <v>4</v>
      </c>
      <c r="F331" s="251">
        <v>1.107</v>
      </c>
      <c r="G331" s="251">
        <v>0.59199999999999997</v>
      </c>
      <c r="H331" s="251">
        <v>0</v>
      </c>
      <c r="I331" s="252">
        <v>3.48</v>
      </c>
      <c r="J331" s="252">
        <v>0</v>
      </c>
      <c r="K331" s="252">
        <v>0</v>
      </c>
      <c r="L331" s="251">
        <v>0</v>
      </c>
      <c r="M331" s="238"/>
      <c r="N331" s="236"/>
    </row>
    <row r="332" spans="2:14" ht="27" customHeight="1">
      <c r="B332" s="233"/>
      <c r="C332" s="306" t="s">
        <v>125</v>
      </c>
      <c r="D332" s="238">
        <v>20323</v>
      </c>
      <c r="E332" s="238">
        <v>4</v>
      </c>
      <c r="F332" s="251">
        <v>0.59</v>
      </c>
      <c r="G332" s="251">
        <v>0</v>
      </c>
      <c r="H332" s="251">
        <v>0</v>
      </c>
      <c r="I332" s="252">
        <v>0</v>
      </c>
      <c r="J332" s="252">
        <v>0</v>
      </c>
      <c r="K332" s="252">
        <v>0</v>
      </c>
      <c r="L332" s="251">
        <v>0</v>
      </c>
      <c r="M332" s="238"/>
      <c r="N332" s="236"/>
    </row>
    <row r="333" spans="2:14" ht="27" customHeight="1">
      <c r="B333" s="233"/>
      <c r="C333" s="306" t="s">
        <v>128</v>
      </c>
      <c r="D333" s="238">
        <v>20324</v>
      </c>
      <c r="E333" s="238" t="s">
        <v>929</v>
      </c>
      <c r="F333" s="251">
        <v>1.048</v>
      </c>
      <c r="G333" s="251">
        <v>0.58099999999999996</v>
      </c>
      <c r="H333" s="251">
        <v>0</v>
      </c>
      <c r="I333" s="252">
        <v>15.45</v>
      </c>
      <c r="J333" s="252">
        <v>0</v>
      </c>
      <c r="K333" s="252">
        <v>0</v>
      </c>
      <c r="L333" s="251">
        <v>0</v>
      </c>
      <c r="M333" s="238"/>
      <c r="N333" s="236"/>
    </row>
    <row r="334" spans="2:14" ht="27" customHeight="1">
      <c r="B334" s="233"/>
      <c r="C334" s="306" t="s">
        <v>1172</v>
      </c>
      <c r="D334" s="238">
        <v>20325</v>
      </c>
      <c r="E334" s="238"/>
      <c r="F334" s="251">
        <v>5.81</v>
      </c>
      <c r="G334" s="251">
        <v>0.749</v>
      </c>
      <c r="H334" s="251">
        <v>0.58899999999999997</v>
      </c>
      <c r="I334" s="252">
        <v>2.15</v>
      </c>
      <c r="J334" s="252">
        <v>0</v>
      </c>
      <c r="K334" s="252">
        <v>0</v>
      </c>
      <c r="L334" s="251">
        <v>0</v>
      </c>
      <c r="M334" s="238"/>
      <c r="N334" s="236"/>
    </row>
    <row r="335" spans="2:14" ht="27" customHeight="1">
      <c r="B335" s="233"/>
      <c r="C335" s="306" t="s">
        <v>1171</v>
      </c>
      <c r="D335" s="238">
        <v>20326</v>
      </c>
      <c r="E335" s="238"/>
      <c r="F335" s="251">
        <v>5.915</v>
      </c>
      <c r="G335" s="251">
        <v>0.753</v>
      </c>
      <c r="H335" s="251">
        <v>0.59</v>
      </c>
      <c r="I335" s="252">
        <v>3.48</v>
      </c>
      <c r="J335" s="252">
        <v>0</v>
      </c>
      <c r="K335" s="252">
        <v>0</v>
      </c>
      <c r="L335" s="251">
        <v>0</v>
      </c>
      <c r="M335" s="238"/>
      <c r="N335" s="236"/>
    </row>
    <row r="336" spans="2:14" ht="27" customHeight="1">
      <c r="B336" s="233"/>
      <c r="C336" s="306" t="s">
        <v>133</v>
      </c>
      <c r="D336" s="238">
        <v>20327</v>
      </c>
      <c r="E336" s="238"/>
      <c r="F336" s="251">
        <v>4.3159999999999998</v>
      </c>
      <c r="G336" s="251">
        <v>0.67</v>
      </c>
      <c r="H336" s="251">
        <v>0.56999999999999995</v>
      </c>
      <c r="I336" s="252">
        <v>4.91</v>
      </c>
      <c r="J336" s="252">
        <v>1.27</v>
      </c>
      <c r="K336" s="252">
        <v>2.89</v>
      </c>
      <c r="L336" s="251">
        <v>6.3E-2</v>
      </c>
      <c r="M336" s="238"/>
      <c r="N336" s="236"/>
    </row>
    <row r="337" spans="2:14" ht="27" customHeight="1">
      <c r="B337" s="233"/>
      <c r="C337" s="306" t="s">
        <v>135</v>
      </c>
      <c r="D337" s="238">
        <v>20328</v>
      </c>
      <c r="E337" s="238"/>
      <c r="F337" s="251">
        <v>5.6870000000000003</v>
      </c>
      <c r="G337" s="251">
        <v>1.006</v>
      </c>
      <c r="H337" s="251">
        <v>0.91400000000000003</v>
      </c>
      <c r="I337" s="252">
        <v>6.2</v>
      </c>
      <c r="J337" s="252">
        <v>2.23</v>
      </c>
      <c r="K337" s="252">
        <v>4.59</v>
      </c>
      <c r="L337" s="251">
        <v>7.2999999999999995E-2</v>
      </c>
      <c r="M337" s="238"/>
      <c r="N337" s="236"/>
    </row>
    <row r="338" spans="2:14" ht="27" customHeight="1">
      <c r="B338" s="233"/>
      <c r="C338" s="306" t="s">
        <v>137</v>
      </c>
      <c r="D338" s="238">
        <v>20329</v>
      </c>
      <c r="E338" s="238"/>
      <c r="F338" s="251">
        <v>5.2679999999999998</v>
      </c>
      <c r="G338" s="251">
        <v>1.1140000000000001</v>
      </c>
      <c r="H338" s="251">
        <v>1.0669999999999999</v>
      </c>
      <c r="I338" s="252">
        <v>72.94</v>
      </c>
      <c r="J338" s="252">
        <v>2.25</v>
      </c>
      <c r="K338" s="252">
        <v>5.52</v>
      </c>
      <c r="L338" s="251">
        <v>5.8999999999999997E-2</v>
      </c>
      <c r="M338" s="238"/>
      <c r="N338" s="236"/>
    </row>
    <row r="339" spans="2:14" ht="27" customHeight="1">
      <c r="B339" s="233"/>
      <c r="C339" s="306" t="s">
        <v>140</v>
      </c>
      <c r="D339" s="238">
        <v>20330</v>
      </c>
      <c r="E339" s="238">
        <v>8</v>
      </c>
      <c r="F339" s="251">
        <v>1.236</v>
      </c>
      <c r="G339" s="251">
        <v>0</v>
      </c>
      <c r="H339" s="251">
        <v>0</v>
      </c>
      <c r="I339" s="252">
        <v>0</v>
      </c>
      <c r="J339" s="252">
        <v>0</v>
      </c>
      <c r="K339" s="252">
        <v>0</v>
      </c>
      <c r="L339" s="251">
        <v>0</v>
      </c>
      <c r="M339" s="238"/>
      <c r="N339" s="236"/>
    </row>
    <row r="340" spans="2:14" ht="27" customHeight="1">
      <c r="B340" s="233"/>
      <c r="C340" s="306" t="s">
        <v>143</v>
      </c>
      <c r="D340" s="238">
        <v>20331</v>
      </c>
      <c r="E340" s="238">
        <v>1</v>
      </c>
      <c r="F340" s="251">
        <v>1.3919999999999999</v>
      </c>
      <c r="G340" s="251">
        <v>0</v>
      </c>
      <c r="H340" s="251">
        <v>0</v>
      </c>
      <c r="I340" s="252">
        <v>0</v>
      </c>
      <c r="J340" s="252">
        <v>0</v>
      </c>
      <c r="K340" s="252">
        <v>0</v>
      </c>
      <c r="L340" s="251">
        <v>0</v>
      </c>
      <c r="M340" s="238"/>
      <c r="N340" s="236"/>
    </row>
    <row r="341" spans="2:14" ht="27" customHeight="1">
      <c r="B341" s="233"/>
      <c r="C341" s="306" t="s">
        <v>146</v>
      </c>
      <c r="D341" s="238">
        <v>20332</v>
      </c>
      <c r="E341" s="238">
        <v>1</v>
      </c>
      <c r="F341" s="251">
        <v>1.758</v>
      </c>
      <c r="G341" s="251">
        <v>0</v>
      </c>
      <c r="H341" s="251">
        <v>0</v>
      </c>
      <c r="I341" s="252">
        <v>0</v>
      </c>
      <c r="J341" s="252">
        <v>0</v>
      </c>
      <c r="K341" s="252">
        <v>0</v>
      </c>
      <c r="L341" s="251">
        <v>0</v>
      </c>
      <c r="M341" s="238"/>
      <c r="N341" s="236"/>
    </row>
    <row r="342" spans="2:14" ht="27" customHeight="1">
      <c r="B342" s="233"/>
      <c r="C342" s="306" t="s">
        <v>149</v>
      </c>
      <c r="D342" s="238">
        <v>20333</v>
      </c>
      <c r="E342" s="238">
        <v>1</v>
      </c>
      <c r="F342" s="251">
        <v>1.085</v>
      </c>
      <c r="G342" s="251">
        <v>0</v>
      </c>
      <c r="H342" s="251">
        <v>0</v>
      </c>
      <c r="I342" s="252">
        <v>0</v>
      </c>
      <c r="J342" s="252">
        <v>0</v>
      </c>
      <c r="K342" s="252">
        <v>0</v>
      </c>
      <c r="L342" s="251">
        <v>0</v>
      </c>
      <c r="M342" s="238"/>
      <c r="N342" s="236"/>
    </row>
    <row r="343" spans="2:14" ht="27" customHeight="1">
      <c r="B343" s="233"/>
      <c r="C343" s="306" t="s">
        <v>152</v>
      </c>
      <c r="D343" s="238">
        <v>20334</v>
      </c>
      <c r="E343" s="238"/>
      <c r="F343" s="251">
        <v>14.146000000000001</v>
      </c>
      <c r="G343" s="251">
        <v>1.105</v>
      </c>
      <c r="H343" s="251">
        <v>0.93200000000000005</v>
      </c>
      <c r="I343" s="252">
        <v>0</v>
      </c>
      <c r="J343" s="252">
        <v>0</v>
      </c>
      <c r="K343" s="252">
        <v>0</v>
      </c>
      <c r="L343" s="251">
        <v>0</v>
      </c>
      <c r="M343" s="238"/>
      <c r="N343" s="236"/>
    </row>
    <row r="344" spans="2:14" ht="27" customHeight="1">
      <c r="B344" s="233"/>
      <c r="C344" s="306" t="s">
        <v>1170</v>
      </c>
      <c r="D344" s="238">
        <v>20335</v>
      </c>
      <c r="E344" s="238" t="s">
        <v>1169</v>
      </c>
      <c r="F344" s="251">
        <v>-0.76400000000000001</v>
      </c>
      <c r="G344" s="251">
        <v>0</v>
      </c>
      <c r="H344" s="251">
        <v>0</v>
      </c>
      <c r="I344" s="252">
        <v>0</v>
      </c>
      <c r="J344" s="252">
        <v>0</v>
      </c>
      <c r="K344" s="252">
        <v>0</v>
      </c>
      <c r="L344" s="251">
        <v>0</v>
      </c>
      <c r="M344" s="238"/>
      <c r="N344" s="236"/>
    </row>
    <row r="345" spans="2:14" ht="27" customHeight="1">
      <c r="B345" s="233"/>
      <c r="C345" s="306" t="s">
        <v>154</v>
      </c>
      <c r="D345" s="238">
        <v>20336</v>
      </c>
      <c r="E345" s="238">
        <v>8</v>
      </c>
      <c r="F345" s="251">
        <v>-0.69099999999999995</v>
      </c>
      <c r="G345" s="251">
        <v>0</v>
      </c>
      <c r="H345" s="251">
        <v>0</v>
      </c>
      <c r="I345" s="252">
        <v>0</v>
      </c>
      <c r="J345" s="252">
        <v>0</v>
      </c>
      <c r="K345" s="252">
        <v>0</v>
      </c>
      <c r="L345" s="251">
        <v>0</v>
      </c>
      <c r="M345" s="238"/>
      <c r="N345" s="236"/>
    </row>
    <row r="346" spans="2:14" ht="27" customHeight="1">
      <c r="B346" s="233"/>
      <c r="C346" s="306" t="s">
        <v>157</v>
      </c>
      <c r="D346" s="238">
        <v>20337</v>
      </c>
      <c r="E346" s="238"/>
      <c r="F346" s="251">
        <v>-0.76400000000000001</v>
      </c>
      <c r="G346" s="251">
        <v>0</v>
      </c>
      <c r="H346" s="251">
        <v>0</v>
      </c>
      <c r="I346" s="252">
        <v>0</v>
      </c>
      <c r="J346" s="252">
        <v>0</v>
      </c>
      <c r="K346" s="252">
        <v>0</v>
      </c>
      <c r="L346" s="251">
        <v>0.16500000000000001</v>
      </c>
      <c r="M346" s="238"/>
      <c r="N346" s="236"/>
    </row>
    <row r="347" spans="2:14" ht="27" customHeight="1">
      <c r="B347" s="233"/>
      <c r="C347" s="306" t="s">
        <v>160</v>
      </c>
      <c r="D347" s="238">
        <v>20338</v>
      </c>
      <c r="E347" s="238"/>
      <c r="F347" s="251">
        <v>-9.3460000000000001</v>
      </c>
      <c r="G347" s="251">
        <v>-0.38500000000000001</v>
      </c>
      <c r="H347" s="251">
        <v>-0.10100000000000001</v>
      </c>
      <c r="I347" s="252">
        <v>0</v>
      </c>
      <c r="J347" s="252">
        <v>0</v>
      </c>
      <c r="K347" s="252">
        <v>0</v>
      </c>
      <c r="L347" s="251">
        <v>0.16500000000000001</v>
      </c>
      <c r="M347" s="238"/>
      <c r="N347" s="236"/>
    </row>
    <row r="348" spans="2:14" ht="27" customHeight="1">
      <c r="B348" s="233"/>
      <c r="C348" s="306" t="s">
        <v>162</v>
      </c>
      <c r="D348" s="238">
        <v>20339</v>
      </c>
      <c r="E348" s="238"/>
      <c r="F348" s="251">
        <v>-0.69099999999999995</v>
      </c>
      <c r="G348" s="251">
        <v>0</v>
      </c>
      <c r="H348" s="251">
        <v>0</v>
      </c>
      <c r="I348" s="252">
        <v>0</v>
      </c>
      <c r="J348" s="252">
        <v>0</v>
      </c>
      <c r="K348" s="252">
        <v>0</v>
      </c>
      <c r="L348" s="251">
        <v>0.13800000000000001</v>
      </c>
      <c r="M348" s="238"/>
      <c r="N348" s="236"/>
    </row>
    <row r="349" spans="2:14" ht="27" customHeight="1">
      <c r="B349" s="233"/>
      <c r="C349" s="306" t="s">
        <v>164</v>
      </c>
      <c r="D349" s="238">
        <v>20340</v>
      </c>
      <c r="E349" s="238"/>
      <c r="F349" s="251">
        <v>-8.5869999999999997</v>
      </c>
      <c r="G349" s="251">
        <v>-0.33</v>
      </c>
      <c r="H349" s="251">
        <v>-0.09</v>
      </c>
      <c r="I349" s="252">
        <v>0</v>
      </c>
      <c r="J349" s="252">
        <v>0</v>
      </c>
      <c r="K349" s="252">
        <v>0</v>
      </c>
      <c r="L349" s="251">
        <v>0.13800000000000001</v>
      </c>
      <c r="M349" s="238"/>
      <c r="N349" s="236"/>
    </row>
    <row r="350" spans="2:14" ht="27" customHeight="1">
      <c r="B350" s="233"/>
      <c r="C350" s="306" t="s">
        <v>166</v>
      </c>
      <c r="D350" s="238">
        <v>20341</v>
      </c>
      <c r="E350" s="238"/>
      <c r="F350" s="251">
        <v>-0.44</v>
      </c>
      <c r="G350" s="251">
        <v>0</v>
      </c>
      <c r="H350" s="251">
        <v>0</v>
      </c>
      <c r="I350" s="252">
        <v>0</v>
      </c>
      <c r="J350" s="252">
        <v>0</v>
      </c>
      <c r="K350" s="252">
        <v>0</v>
      </c>
      <c r="L350" s="251">
        <v>0.106</v>
      </c>
      <c r="M350" s="238"/>
      <c r="N350" s="236"/>
    </row>
    <row r="351" spans="2:14" ht="27" customHeight="1">
      <c r="B351" s="233"/>
      <c r="C351" s="306" t="s">
        <v>168</v>
      </c>
      <c r="D351" s="238">
        <v>20342</v>
      </c>
      <c r="E351" s="238"/>
      <c r="F351" s="251">
        <v>-5.9740000000000002</v>
      </c>
      <c r="G351" s="251">
        <v>-0.14299999999999999</v>
      </c>
      <c r="H351" s="251">
        <v>-5.0999999999999997E-2</v>
      </c>
      <c r="I351" s="252">
        <v>0</v>
      </c>
      <c r="J351" s="252">
        <v>0</v>
      </c>
      <c r="K351" s="252">
        <v>0</v>
      </c>
      <c r="L351" s="251">
        <v>0.106</v>
      </c>
      <c r="M351" s="238"/>
      <c r="N351" s="236"/>
    </row>
    <row r="352" spans="2:14" ht="27" customHeight="1" thickBot="1">
      <c r="B352" s="239"/>
      <c r="C352" s="240"/>
      <c r="D352" s="240"/>
      <c r="E352" s="240"/>
      <c r="F352" s="240"/>
      <c r="G352" s="240"/>
      <c r="H352" s="240"/>
      <c r="I352" s="240"/>
      <c r="J352" s="240"/>
      <c r="K352" s="240"/>
      <c r="L352" s="240"/>
      <c r="M352" s="240"/>
      <c r="N352" s="241"/>
    </row>
    <row r="353" spans="2:14" ht="27" customHeight="1"/>
    <row r="354" spans="2:14" ht="27" customHeight="1"/>
    <row r="355" spans="2:14" ht="27" customHeight="1" thickBot="1"/>
    <row r="356" spans="2:14" ht="27" customHeight="1">
      <c r="B356" s="229"/>
      <c r="C356" s="230"/>
      <c r="D356" s="231"/>
      <c r="E356" s="231"/>
      <c r="F356" s="231"/>
      <c r="G356" s="231"/>
      <c r="H356" s="231"/>
      <c r="I356" s="231"/>
      <c r="J356" s="231"/>
      <c r="K356" s="231"/>
      <c r="L356" s="231"/>
      <c r="M356" s="231"/>
      <c r="N356" s="232"/>
    </row>
    <row r="357" spans="2:14" ht="27" customHeight="1">
      <c r="B357" s="233"/>
      <c r="C357" s="234" t="str">
        <f>"Tariffs for Charging Year: "&amp; " "&amp;D10&amp;""</f>
        <v>Tariffs for Charging Year:  2022/23</v>
      </c>
      <c r="D357" s="234"/>
      <c r="E357" s="234"/>
      <c r="F357" s="234"/>
      <c r="G357" s="234"/>
      <c r="H357" s="234"/>
      <c r="I357" s="235"/>
      <c r="J357" s="235"/>
      <c r="K357" s="235"/>
      <c r="L357" s="235"/>
      <c r="M357" s="235"/>
      <c r="N357" s="236"/>
    </row>
    <row r="358" spans="2:14" ht="27" customHeight="1">
      <c r="B358" s="233"/>
      <c r="C358" s="220"/>
      <c r="D358" s="235"/>
      <c r="E358" s="235"/>
      <c r="F358" s="235"/>
      <c r="G358" s="235"/>
      <c r="H358" s="235"/>
      <c r="I358" s="235"/>
      <c r="J358" s="235"/>
      <c r="K358" s="235"/>
      <c r="L358" s="235"/>
      <c r="M358" s="235"/>
      <c r="N358" s="236"/>
    </row>
    <row r="359" spans="2:14" ht="27" customHeight="1">
      <c r="B359" s="233"/>
      <c r="C359" s="220"/>
      <c r="D359" s="235"/>
      <c r="E359" s="235"/>
      <c r="F359" s="235"/>
      <c r="G359" s="235"/>
      <c r="H359" s="235"/>
      <c r="I359" s="235"/>
      <c r="J359" s="235"/>
      <c r="K359" s="235"/>
      <c r="L359" s="235"/>
      <c r="M359" s="235"/>
      <c r="N359" s="236"/>
    </row>
    <row r="360" spans="2:14" ht="27" customHeight="1">
      <c r="B360" s="233"/>
      <c r="C360" s="237"/>
      <c r="D360" s="209" t="s">
        <v>926</v>
      </c>
      <c r="E360" s="209" t="s">
        <v>927</v>
      </c>
      <c r="F360" s="209" t="s">
        <v>858</v>
      </c>
      <c r="G360" s="209" t="s">
        <v>859</v>
      </c>
      <c r="H360" s="209" t="s">
        <v>860</v>
      </c>
      <c r="I360" s="209" t="s">
        <v>861</v>
      </c>
      <c r="J360" s="209" t="s">
        <v>862</v>
      </c>
      <c r="K360" s="209" t="s">
        <v>1515</v>
      </c>
      <c r="L360" s="209" t="s">
        <v>720</v>
      </c>
      <c r="M360" s="209" t="s">
        <v>928</v>
      </c>
      <c r="N360" s="236"/>
    </row>
    <row r="361" spans="2:14" ht="27" customHeight="1">
      <c r="B361" s="233"/>
      <c r="C361" s="306" t="s">
        <v>54</v>
      </c>
      <c r="D361" s="238" t="s">
        <v>1764</v>
      </c>
      <c r="E361" s="238">
        <v>1</v>
      </c>
      <c r="F361" s="251">
        <v>3.0219999999999998</v>
      </c>
      <c r="G361" s="251">
        <v>0</v>
      </c>
      <c r="H361" s="251">
        <v>0</v>
      </c>
      <c r="I361" s="252">
        <v>5.82</v>
      </c>
      <c r="J361" s="252">
        <v>0</v>
      </c>
      <c r="K361" s="252">
        <v>0</v>
      </c>
      <c r="L361" s="251">
        <v>0</v>
      </c>
      <c r="M361" s="238"/>
      <c r="N361" s="236"/>
    </row>
    <row r="362" spans="2:14" ht="27" customHeight="1">
      <c r="B362" s="233"/>
      <c r="C362" s="306" t="s">
        <v>55</v>
      </c>
      <c r="D362" s="238" t="s">
        <v>1765</v>
      </c>
      <c r="E362" s="238">
        <v>2</v>
      </c>
      <c r="F362" s="251">
        <v>3.4060000000000001</v>
      </c>
      <c r="G362" s="251">
        <v>1.5940000000000001</v>
      </c>
      <c r="H362" s="251">
        <v>0</v>
      </c>
      <c r="I362" s="252">
        <v>5.82</v>
      </c>
      <c r="J362" s="252">
        <v>0</v>
      </c>
      <c r="K362" s="252">
        <v>0</v>
      </c>
      <c r="L362" s="251">
        <v>0</v>
      </c>
      <c r="M362" s="238"/>
      <c r="N362" s="236"/>
    </row>
    <row r="363" spans="2:14" ht="27" customHeight="1">
      <c r="B363" s="233"/>
      <c r="C363" s="306" t="s">
        <v>91</v>
      </c>
      <c r="D363" s="238">
        <v>430</v>
      </c>
      <c r="E363" s="238">
        <v>2</v>
      </c>
      <c r="F363" s="251">
        <v>1.573</v>
      </c>
      <c r="G363" s="251">
        <v>0</v>
      </c>
      <c r="H363" s="251">
        <v>0</v>
      </c>
      <c r="I363" s="252">
        <v>0</v>
      </c>
      <c r="J363" s="252">
        <v>0</v>
      </c>
      <c r="K363" s="252">
        <v>0</v>
      </c>
      <c r="L363" s="251">
        <v>0</v>
      </c>
      <c r="M363" s="238"/>
      <c r="N363" s="236"/>
    </row>
    <row r="364" spans="2:14" ht="27" customHeight="1">
      <c r="B364" s="233"/>
      <c r="C364" s="306" t="s">
        <v>56</v>
      </c>
      <c r="D364" s="238">
        <v>110</v>
      </c>
      <c r="E364" s="238">
        <v>3</v>
      </c>
      <c r="F364" s="251">
        <v>2.7530000000000001</v>
      </c>
      <c r="G364" s="251">
        <v>0</v>
      </c>
      <c r="H364" s="251">
        <v>0</v>
      </c>
      <c r="I364" s="252">
        <v>9.41</v>
      </c>
      <c r="J364" s="252">
        <v>0</v>
      </c>
      <c r="K364" s="252">
        <v>0</v>
      </c>
      <c r="L364" s="251">
        <v>0</v>
      </c>
      <c r="M364" s="238"/>
      <c r="N364" s="236"/>
    </row>
    <row r="365" spans="2:14" ht="27" customHeight="1">
      <c r="B365" s="233"/>
      <c r="C365" s="306" t="s">
        <v>57</v>
      </c>
      <c r="D365" s="238">
        <v>210</v>
      </c>
      <c r="E365" s="238">
        <v>4</v>
      </c>
      <c r="F365" s="251">
        <v>2.98</v>
      </c>
      <c r="G365" s="251">
        <v>1.5880000000000001</v>
      </c>
      <c r="H365" s="251">
        <v>0</v>
      </c>
      <c r="I365" s="252">
        <v>9.41</v>
      </c>
      <c r="J365" s="252">
        <v>0</v>
      </c>
      <c r="K365" s="252">
        <v>0</v>
      </c>
      <c r="L365" s="251">
        <v>0</v>
      </c>
      <c r="M365" s="238"/>
      <c r="N365" s="236"/>
    </row>
    <row r="366" spans="2:14" ht="27" customHeight="1">
      <c r="B366" s="233"/>
      <c r="C366" s="306" t="s">
        <v>92</v>
      </c>
      <c r="D366" s="238">
        <v>251</v>
      </c>
      <c r="E366" s="238">
        <v>4</v>
      </c>
      <c r="F366" s="251">
        <v>1.5820000000000001</v>
      </c>
      <c r="G366" s="251">
        <v>0</v>
      </c>
      <c r="H366" s="251">
        <v>0</v>
      </c>
      <c r="I366" s="252">
        <v>0</v>
      </c>
      <c r="J366" s="252">
        <v>0</v>
      </c>
      <c r="K366" s="252">
        <v>0</v>
      </c>
      <c r="L366" s="251">
        <v>0</v>
      </c>
      <c r="M366" s="238"/>
      <c r="N366" s="236"/>
    </row>
    <row r="367" spans="2:14" ht="27" customHeight="1">
      <c r="B367" s="233"/>
      <c r="C367" s="306" t="s">
        <v>58</v>
      </c>
      <c r="D367" s="238">
        <v>570</v>
      </c>
      <c r="E367" s="238" t="s">
        <v>929</v>
      </c>
      <c r="F367" s="251">
        <v>2.82</v>
      </c>
      <c r="G367" s="251">
        <v>1.5589999999999999</v>
      </c>
      <c r="H367" s="251">
        <v>0</v>
      </c>
      <c r="I367" s="252">
        <v>41.8</v>
      </c>
      <c r="J367" s="252">
        <v>0</v>
      </c>
      <c r="K367" s="252">
        <v>0</v>
      </c>
      <c r="L367" s="251">
        <v>0</v>
      </c>
      <c r="M367" s="238"/>
      <c r="N367" s="236"/>
    </row>
    <row r="368" spans="2:14" ht="27" customHeight="1">
      <c r="B368" s="233"/>
      <c r="C368" s="306" t="s">
        <v>59</v>
      </c>
      <c r="D368" s="238">
        <v>540</v>
      </c>
      <c r="E368" s="238" t="s">
        <v>929</v>
      </c>
      <c r="F368" s="251">
        <v>2.6760000000000002</v>
      </c>
      <c r="G368" s="251">
        <v>1.5449999999999999</v>
      </c>
      <c r="H368" s="251">
        <v>0</v>
      </c>
      <c r="I368" s="252">
        <v>28.97</v>
      </c>
      <c r="J368" s="252">
        <v>0</v>
      </c>
      <c r="K368" s="252">
        <v>0</v>
      </c>
      <c r="L368" s="251">
        <v>0</v>
      </c>
      <c r="M368" s="238"/>
      <c r="N368" s="236"/>
    </row>
    <row r="369" spans="2:14" ht="27" customHeight="1">
      <c r="B369" s="233"/>
      <c r="C369" s="306" t="s">
        <v>72</v>
      </c>
      <c r="D369" s="238">
        <v>510</v>
      </c>
      <c r="E369" s="238" t="s">
        <v>929</v>
      </c>
      <c r="F369" s="251">
        <v>2.1619999999999999</v>
      </c>
      <c r="G369" s="251">
        <v>1.484</v>
      </c>
      <c r="H369" s="251">
        <v>0</v>
      </c>
      <c r="I369" s="252">
        <v>194.36</v>
      </c>
      <c r="J369" s="252">
        <v>0</v>
      </c>
      <c r="K369" s="252">
        <v>0</v>
      </c>
      <c r="L369" s="251">
        <v>0</v>
      </c>
      <c r="M369" s="238"/>
      <c r="N369" s="236"/>
    </row>
    <row r="370" spans="2:14" ht="27" customHeight="1">
      <c r="B370" s="233"/>
      <c r="C370" s="306" t="s">
        <v>1178</v>
      </c>
      <c r="D370" s="238">
        <v>202</v>
      </c>
      <c r="E370" s="238"/>
      <c r="F370" s="251">
        <v>15.699</v>
      </c>
      <c r="G370" s="251">
        <v>2.0129999999999999</v>
      </c>
      <c r="H370" s="251">
        <v>1.579</v>
      </c>
      <c r="I370" s="252">
        <v>5.82</v>
      </c>
      <c r="J370" s="252">
        <v>0</v>
      </c>
      <c r="K370" s="252">
        <v>0</v>
      </c>
      <c r="L370" s="251">
        <v>0</v>
      </c>
      <c r="M370" s="238"/>
      <c r="N370" s="236"/>
    </row>
    <row r="371" spans="2:14" ht="27" customHeight="1">
      <c r="B371" s="233"/>
      <c r="C371" s="306" t="s">
        <v>1177</v>
      </c>
      <c r="D371" s="238">
        <v>203</v>
      </c>
      <c r="E371" s="238"/>
      <c r="F371" s="251">
        <v>15.981999999999999</v>
      </c>
      <c r="G371" s="251">
        <v>2.024</v>
      </c>
      <c r="H371" s="251">
        <v>1.5820000000000001</v>
      </c>
      <c r="I371" s="252">
        <v>9.41</v>
      </c>
      <c r="J371" s="252">
        <v>0</v>
      </c>
      <c r="K371" s="252">
        <v>0</v>
      </c>
      <c r="L371" s="251">
        <v>0</v>
      </c>
      <c r="M371" s="238"/>
      <c r="N371" s="236"/>
    </row>
    <row r="372" spans="2:14" ht="27" customHeight="1">
      <c r="B372" s="233"/>
      <c r="C372" s="306" t="s">
        <v>60</v>
      </c>
      <c r="D372" s="238">
        <v>570</v>
      </c>
      <c r="E372" s="238"/>
      <c r="F372" s="251">
        <v>11.659000000000001</v>
      </c>
      <c r="G372" s="251">
        <v>1.8</v>
      </c>
      <c r="H372" s="251">
        <v>1.5289999999999999</v>
      </c>
      <c r="I372" s="252">
        <v>13.27</v>
      </c>
      <c r="J372" s="252">
        <v>3.43</v>
      </c>
      <c r="K372" s="252">
        <v>7.83</v>
      </c>
      <c r="L372" s="251">
        <v>0.17100000000000001</v>
      </c>
      <c r="M372" s="238"/>
      <c r="N372" s="236"/>
    </row>
    <row r="373" spans="2:14" ht="27" customHeight="1">
      <c r="B373" s="233"/>
      <c r="C373" s="306" t="s">
        <v>61</v>
      </c>
      <c r="D373" s="238">
        <v>540</v>
      </c>
      <c r="E373" s="238"/>
      <c r="F373" s="251">
        <v>9.3650000000000002</v>
      </c>
      <c r="G373" s="251">
        <v>1.6459999999999999</v>
      </c>
      <c r="H373" s="251">
        <v>1.496</v>
      </c>
      <c r="I373" s="252">
        <v>10.220000000000001</v>
      </c>
      <c r="J373" s="252">
        <v>3.68</v>
      </c>
      <c r="K373" s="252">
        <v>7.57</v>
      </c>
      <c r="L373" s="251">
        <v>0.121</v>
      </c>
      <c r="M373" s="238"/>
      <c r="N373" s="236"/>
    </row>
    <row r="374" spans="2:14" ht="27" customHeight="1">
      <c r="B374" s="233"/>
      <c r="C374" s="306" t="s">
        <v>73</v>
      </c>
      <c r="D374" s="238">
        <v>510</v>
      </c>
      <c r="E374" s="238"/>
      <c r="F374" s="251">
        <v>7.3120000000000003</v>
      </c>
      <c r="G374" s="251">
        <v>1.536</v>
      </c>
      <c r="H374" s="251">
        <v>1.47</v>
      </c>
      <c r="I374" s="252">
        <v>101.43</v>
      </c>
      <c r="J374" s="252">
        <v>3.13</v>
      </c>
      <c r="K374" s="252">
        <v>7.68</v>
      </c>
      <c r="L374" s="251">
        <v>8.1000000000000003E-2</v>
      </c>
      <c r="M374" s="238"/>
      <c r="N374" s="236"/>
    </row>
    <row r="375" spans="2:14" ht="27" customHeight="1">
      <c r="B375" s="233"/>
      <c r="C375" s="306" t="s">
        <v>93</v>
      </c>
      <c r="D375" s="238">
        <v>977</v>
      </c>
      <c r="E375" s="238">
        <v>8</v>
      </c>
      <c r="F375" s="251">
        <v>3.331</v>
      </c>
      <c r="G375" s="251">
        <v>0</v>
      </c>
      <c r="H375" s="251">
        <v>0</v>
      </c>
      <c r="I375" s="252">
        <v>0</v>
      </c>
      <c r="J375" s="252">
        <v>0</v>
      </c>
      <c r="K375" s="252">
        <v>0</v>
      </c>
      <c r="L375" s="251">
        <v>0</v>
      </c>
      <c r="M375" s="238"/>
      <c r="N375" s="236"/>
    </row>
    <row r="376" spans="2:14" ht="27" customHeight="1">
      <c r="B376" s="233"/>
      <c r="C376" s="306" t="s">
        <v>94</v>
      </c>
      <c r="D376" s="238">
        <v>980</v>
      </c>
      <c r="E376" s="238">
        <v>1</v>
      </c>
      <c r="F376" s="251">
        <v>3.7519999999999998</v>
      </c>
      <c r="G376" s="251">
        <v>0</v>
      </c>
      <c r="H376" s="251">
        <v>0</v>
      </c>
      <c r="I376" s="252">
        <v>0</v>
      </c>
      <c r="J376" s="252">
        <v>0</v>
      </c>
      <c r="K376" s="252">
        <v>0</v>
      </c>
      <c r="L376" s="251">
        <v>0</v>
      </c>
      <c r="M376" s="238"/>
      <c r="N376" s="236"/>
    </row>
    <row r="377" spans="2:14" ht="27" customHeight="1">
      <c r="B377" s="233"/>
      <c r="C377" s="306" t="s">
        <v>95</v>
      </c>
      <c r="D377" s="238">
        <v>978</v>
      </c>
      <c r="E377" s="238">
        <v>1</v>
      </c>
      <c r="F377" s="251">
        <v>4.7409999999999997</v>
      </c>
      <c r="G377" s="251">
        <v>0</v>
      </c>
      <c r="H377" s="251">
        <v>0</v>
      </c>
      <c r="I377" s="252">
        <v>0</v>
      </c>
      <c r="J377" s="252">
        <v>0</v>
      </c>
      <c r="K377" s="252">
        <v>0</v>
      </c>
      <c r="L377" s="251">
        <v>0</v>
      </c>
      <c r="M377" s="238"/>
      <c r="N377" s="236"/>
    </row>
    <row r="378" spans="2:14" ht="27" customHeight="1">
      <c r="B378" s="233"/>
      <c r="C378" s="306" t="s">
        <v>96</v>
      </c>
      <c r="D378" s="238">
        <v>979</v>
      </c>
      <c r="E378" s="238">
        <v>1</v>
      </c>
      <c r="F378" s="251">
        <v>2.9220000000000002</v>
      </c>
      <c r="G378" s="251">
        <v>0</v>
      </c>
      <c r="H378" s="251">
        <v>0</v>
      </c>
      <c r="I378" s="252">
        <v>0</v>
      </c>
      <c r="J378" s="252">
        <v>0</v>
      </c>
      <c r="K378" s="252">
        <v>0</v>
      </c>
      <c r="L378" s="251">
        <v>0</v>
      </c>
      <c r="M378" s="238"/>
      <c r="N378" s="236"/>
    </row>
    <row r="379" spans="2:14" ht="27" customHeight="1">
      <c r="B379" s="233"/>
      <c r="C379" s="306" t="s">
        <v>97</v>
      </c>
      <c r="D379" s="238">
        <v>970</v>
      </c>
      <c r="E379" s="238"/>
      <c r="F379" s="251">
        <v>38.238999999999997</v>
      </c>
      <c r="G379" s="251">
        <v>2.976</v>
      </c>
      <c r="H379" s="251">
        <v>2.5070000000000001</v>
      </c>
      <c r="I379" s="252">
        <v>0</v>
      </c>
      <c r="J379" s="252">
        <v>0</v>
      </c>
      <c r="K379" s="252">
        <v>0</v>
      </c>
      <c r="L379" s="251">
        <v>0</v>
      </c>
      <c r="M379" s="238"/>
      <c r="N379" s="236"/>
    </row>
    <row r="380" spans="2:14" ht="27" customHeight="1">
      <c r="B380" s="233"/>
      <c r="C380" s="306" t="s">
        <v>1176</v>
      </c>
      <c r="D380" s="238">
        <v>581</v>
      </c>
      <c r="E380" s="238" t="s">
        <v>1169</v>
      </c>
      <c r="F380" s="251">
        <v>-0.78700000000000003</v>
      </c>
      <c r="G380" s="251">
        <v>0</v>
      </c>
      <c r="H380" s="251">
        <v>0</v>
      </c>
      <c r="I380" s="252">
        <v>0</v>
      </c>
      <c r="J380" s="252">
        <v>0</v>
      </c>
      <c r="K380" s="252">
        <v>0</v>
      </c>
      <c r="L380" s="251">
        <v>0</v>
      </c>
      <c r="M380" s="238"/>
      <c r="N380" s="236"/>
    </row>
    <row r="381" spans="2:14" ht="27" customHeight="1">
      <c r="B381" s="233"/>
      <c r="C381" s="306" t="s">
        <v>62</v>
      </c>
      <c r="D381" s="238">
        <v>551</v>
      </c>
      <c r="E381" s="238">
        <v>8</v>
      </c>
      <c r="F381" s="251">
        <v>-0.71199999999999997</v>
      </c>
      <c r="G381" s="251">
        <v>0</v>
      </c>
      <c r="H381" s="251">
        <v>0</v>
      </c>
      <c r="I381" s="252">
        <v>0</v>
      </c>
      <c r="J381" s="252">
        <v>0</v>
      </c>
      <c r="K381" s="252">
        <v>0</v>
      </c>
      <c r="L381" s="251">
        <v>0</v>
      </c>
      <c r="M381" s="238"/>
      <c r="N381" s="236"/>
    </row>
    <row r="382" spans="2:14" ht="27" customHeight="1">
      <c r="B382" s="233"/>
      <c r="C382" s="306" t="s">
        <v>63</v>
      </c>
      <c r="D382" s="238">
        <v>581</v>
      </c>
      <c r="E382" s="238"/>
      <c r="F382" s="251">
        <v>-0.78700000000000003</v>
      </c>
      <c r="G382" s="251">
        <v>0</v>
      </c>
      <c r="H382" s="251">
        <v>0</v>
      </c>
      <c r="I382" s="252">
        <v>0</v>
      </c>
      <c r="J382" s="252">
        <v>0</v>
      </c>
      <c r="K382" s="252">
        <v>0</v>
      </c>
      <c r="L382" s="251">
        <v>0.17</v>
      </c>
      <c r="M382" s="238"/>
      <c r="N382" s="236"/>
    </row>
    <row r="383" spans="2:14" ht="27" customHeight="1">
      <c r="B383" s="233"/>
      <c r="C383" s="306" t="s">
        <v>1516</v>
      </c>
      <c r="D383" s="238" t="s">
        <v>1766</v>
      </c>
      <c r="E383" s="238"/>
      <c r="F383" s="251">
        <v>-0.78700000000000003</v>
      </c>
      <c r="G383" s="251">
        <v>0</v>
      </c>
      <c r="H383" s="251">
        <v>0</v>
      </c>
      <c r="I383" s="252">
        <v>0</v>
      </c>
      <c r="J383" s="252">
        <v>0</v>
      </c>
      <c r="K383" s="252">
        <v>0</v>
      </c>
      <c r="L383" s="251">
        <v>0</v>
      </c>
      <c r="M383" s="238"/>
      <c r="N383" s="236"/>
    </row>
    <row r="384" spans="2:14" ht="27" customHeight="1">
      <c r="B384" s="233"/>
      <c r="C384" s="306" t="s">
        <v>64</v>
      </c>
      <c r="D384" s="238">
        <v>527</v>
      </c>
      <c r="E384" s="238"/>
      <c r="F384" s="251">
        <v>-9.6340000000000003</v>
      </c>
      <c r="G384" s="251">
        <v>-0.39700000000000002</v>
      </c>
      <c r="H384" s="251">
        <v>-0.104</v>
      </c>
      <c r="I384" s="252">
        <v>0</v>
      </c>
      <c r="J384" s="252">
        <v>0</v>
      </c>
      <c r="K384" s="252">
        <v>0</v>
      </c>
      <c r="L384" s="251">
        <v>0.17</v>
      </c>
      <c r="M384" s="238"/>
      <c r="N384" s="236"/>
    </row>
    <row r="385" spans="2:14" ht="27" customHeight="1">
      <c r="B385" s="233"/>
      <c r="C385" s="306" t="s">
        <v>1517</v>
      </c>
      <c r="D385" s="238" t="s">
        <v>1766</v>
      </c>
      <c r="E385" s="238"/>
      <c r="F385" s="251">
        <v>-9.6340000000000003</v>
      </c>
      <c r="G385" s="251">
        <v>-0.39700000000000002</v>
      </c>
      <c r="H385" s="251">
        <v>-0.104</v>
      </c>
      <c r="I385" s="252">
        <v>0</v>
      </c>
      <c r="J385" s="252">
        <v>0</v>
      </c>
      <c r="K385" s="252">
        <v>0</v>
      </c>
      <c r="L385" s="251">
        <v>0</v>
      </c>
      <c r="M385" s="238"/>
      <c r="N385" s="236"/>
    </row>
    <row r="386" spans="2:14" ht="27" customHeight="1">
      <c r="B386" s="233"/>
      <c r="C386" s="306" t="s">
        <v>65</v>
      </c>
      <c r="D386" s="238">
        <v>551</v>
      </c>
      <c r="E386" s="238"/>
      <c r="F386" s="251">
        <v>-0.71199999999999997</v>
      </c>
      <c r="G386" s="251">
        <v>0</v>
      </c>
      <c r="H386" s="251">
        <v>0</v>
      </c>
      <c r="I386" s="252">
        <v>0</v>
      </c>
      <c r="J386" s="252">
        <v>0</v>
      </c>
      <c r="K386" s="252">
        <v>0</v>
      </c>
      <c r="L386" s="251">
        <v>0.14199999999999999</v>
      </c>
      <c r="M386" s="238"/>
      <c r="N386" s="236"/>
    </row>
    <row r="387" spans="2:14" ht="27" customHeight="1">
      <c r="B387" s="233"/>
      <c r="C387" s="306" t="s">
        <v>1518</v>
      </c>
      <c r="D387" s="238" t="s">
        <v>1766</v>
      </c>
      <c r="E387" s="238"/>
      <c r="F387" s="251">
        <v>-0.71199999999999997</v>
      </c>
      <c r="G387" s="251">
        <v>0</v>
      </c>
      <c r="H387" s="251">
        <v>0</v>
      </c>
      <c r="I387" s="252">
        <v>0</v>
      </c>
      <c r="J387" s="252">
        <v>0</v>
      </c>
      <c r="K387" s="252">
        <v>0</v>
      </c>
      <c r="L387" s="251">
        <v>0</v>
      </c>
      <c r="M387" s="238"/>
      <c r="N387" s="236"/>
    </row>
    <row r="388" spans="2:14" ht="27" customHeight="1">
      <c r="B388" s="233"/>
      <c r="C388" s="306" t="s">
        <v>66</v>
      </c>
      <c r="D388" s="238">
        <v>526</v>
      </c>
      <c r="E388" s="238"/>
      <c r="F388" s="251">
        <v>-8.8510000000000009</v>
      </c>
      <c r="G388" s="251">
        <v>-0.34</v>
      </c>
      <c r="H388" s="251">
        <v>-9.1999999999999998E-2</v>
      </c>
      <c r="I388" s="252">
        <v>0</v>
      </c>
      <c r="J388" s="252">
        <v>0</v>
      </c>
      <c r="K388" s="252">
        <v>0</v>
      </c>
      <c r="L388" s="251">
        <v>0.14199999999999999</v>
      </c>
      <c r="M388" s="238"/>
      <c r="N388" s="236"/>
    </row>
    <row r="389" spans="2:14" ht="27" customHeight="1">
      <c r="B389" s="233"/>
      <c r="C389" s="306" t="s">
        <v>1519</v>
      </c>
      <c r="D389" s="238" t="s">
        <v>1766</v>
      </c>
      <c r="E389" s="238"/>
      <c r="F389" s="251">
        <v>-8.8510000000000009</v>
      </c>
      <c r="G389" s="251">
        <v>-0.34</v>
      </c>
      <c r="H389" s="251">
        <v>-9.1999999999999998E-2</v>
      </c>
      <c r="I389" s="252">
        <v>0</v>
      </c>
      <c r="J389" s="252">
        <v>0</v>
      </c>
      <c r="K389" s="252">
        <v>0</v>
      </c>
      <c r="L389" s="251">
        <v>0</v>
      </c>
      <c r="M389" s="238"/>
      <c r="N389" s="236"/>
    </row>
    <row r="390" spans="2:14" ht="27" customHeight="1">
      <c r="B390" s="233"/>
      <c r="C390" s="306" t="s">
        <v>74</v>
      </c>
      <c r="D390" s="238">
        <v>521</v>
      </c>
      <c r="E390" s="238"/>
      <c r="F390" s="251">
        <v>-0.45400000000000001</v>
      </c>
      <c r="G390" s="251">
        <v>0</v>
      </c>
      <c r="H390" s="251">
        <v>0</v>
      </c>
      <c r="I390" s="252">
        <v>48.9</v>
      </c>
      <c r="J390" s="252">
        <v>0</v>
      </c>
      <c r="K390" s="252">
        <v>0</v>
      </c>
      <c r="L390" s="251">
        <v>0.109</v>
      </c>
      <c r="M390" s="238"/>
      <c r="N390" s="236"/>
    </row>
    <row r="391" spans="2:14" ht="27" customHeight="1">
      <c r="B391" s="233"/>
      <c r="C391" s="306" t="s">
        <v>1520</v>
      </c>
      <c r="D391" s="238" t="s">
        <v>1766</v>
      </c>
      <c r="E391" s="238"/>
      <c r="F391" s="251">
        <v>-0.45400000000000001</v>
      </c>
      <c r="G391" s="251">
        <v>0</v>
      </c>
      <c r="H391" s="251">
        <v>0</v>
      </c>
      <c r="I391" s="252">
        <v>48.9</v>
      </c>
      <c r="J391" s="252">
        <v>0</v>
      </c>
      <c r="K391" s="252">
        <v>0</v>
      </c>
      <c r="L391" s="251">
        <v>0</v>
      </c>
      <c r="M391" s="238"/>
      <c r="N391" s="236"/>
    </row>
    <row r="392" spans="2:14" ht="27" customHeight="1">
      <c r="B392" s="233"/>
      <c r="C392" s="306" t="s">
        <v>75</v>
      </c>
      <c r="D392" s="238">
        <v>524</v>
      </c>
      <c r="E392" s="238"/>
      <c r="F392" s="251">
        <v>-6.157</v>
      </c>
      <c r="G392" s="251">
        <v>-0.14799999999999999</v>
      </c>
      <c r="H392" s="251">
        <v>-5.1999999999999998E-2</v>
      </c>
      <c r="I392" s="252">
        <v>48.9</v>
      </c>
      <c r="J392" s="252">
        <v>0</v>
      </c>
      <c r="K392" s="252">
        <v>0</v>
      </c>
      <c r="L392" s="251">
        <v>0.109</v>
      </c>
      <c r="M392" s="238"/>
      <c r="N392" s="236"/>
    </row>
    <row r="393" spans="2:14" ht="27" customHeight="1">
      <c r="B393" s="233"/>
      <c r="C393" s="306" t="s">
        <v>1521</v>
      </c>
      <c r="D393" s="238" t="s">
        <v>1766</v>
      </c>
      <c r="E393" s="238"/>
      <c r="F393" s="251">
        <v>-6.157</v>
      </c>
      <c r="G393" s="251">
        <v>-0.14799999999999999</v>
      </c>
      <c r="H393" s="251">
        <v>-5.1999999999999998E-2</v>
      </c>
      <c r="I393" s="252">
        <v>48.9</v>
      </c>
      <c r="J393" s="252">
        <v>0</v>
      </c>
      <c r="K393" s="252">
        <v>0</v>
      </c>
      <c r="L393" s="251">
        <v>0</v>
      </c>
      <c r="M393" s="238"/>
      <c r="N393" s="236"/>
    </row>
    <row r="394" spans="2:14" ht="27" customHeight="1">
      <c r="B394" s="233"/>
      <c r="C394" s="306" t="s">
        <v>109</v>
      </c>
      <c r="D394" s="238">
        <v>20300</v>
      </c>
      <c r="E394" s="238">
        <v>1</v>
      </c>
      <c r="F394" s="251">
        <v>1.8959999999999999</v>
      </c>
      <c r="G394" s="251">
        <v>0</v>
      </c>
      <c r="H394" s="251">
        <v>0</v>
      </c>
      <c r="I394" s="252">
        <v>3.65</v>
      </c>
      <c r="J394" s="252">
        <v>0</v>
      </c>
      <c r="K394" s="252">
        <v>0</v>
      </c>
      <c r="L394" s="251">
        <v>0</v>
      </c>
      <c r="M394" s="238"/>
      <c r="N394" s="236"/>
    </row>
    <row r="395" spans="2:14" ht="27" customHeight="1">
      <c r="B395" s="233"/>
      <c r="C395" s="306" t="s">
        <v>112</v>
      </c>
      <c r="D395" s="238">
        <v>20301</v>
      </c>
      <c r="E395" s="238">
        <v>2</v>
      </c>
      <c r="F395" s="251">
        <v>2.137</v>
      </c>
      <c r="G395" s="251">
        <v>1</v>
      </c>
      <c r="H395" s="251">
        <v>0</v>
      </c>
      <c r="I395" s="252">
        <v>3.65</v>
      </c>
      <c r="J395" s="252">
        <v>0</v>
      </c>
      <c r="K395" s="252">
        <v>0</v>
      </c>
      <c r="L395" s="251">
        <v>0</v>
      </c>
      <c r="M395" s="238"/>
      <c r="N395" s="236"/>
    </row>
    <row r="396" spans="2:14" ht="27" customHeight="1">
      <c r="B396" s="233"/>
      <c r="C396" s="306" t="s">
        <v>115</v>
      </c>
      <c r="D396" s="238">
        <v>20302</v>
      </c>
      <c r="E396" s="238">
        <v>2</v>
      </c>
      <c r="F396" s="251">
        <v>0.98699999999999999</v>
      </c>
      <c r="G396" s="251">
        <v>0</v>
      </c>
      <c r="H396" s="251">
        <v>0</v>
      </c>
      <c r="I396" s="252">
        <v>0</v>
      </c>
      <c r="J396" s="252">
        <v>0</v>
      </c>
      <c r="K396" s="252">
        <v>0</v>
      </c>
      <c r="L396" s="251">
        <v>0</v>
      </c>
      <c r="M396" s="238"/>
      <c r="N396" s="236"/>
    </row>
    <row r="397" spans="2:14" ht="27" customHeight="1">
      <c r="B397" s="233"/>
      <c r="C397" s="306" t="s">
        <v>118</v>
      </c>
      <c r="D397" s="238">
        <v>20303</v>
      </c>
      <c r="E397" s="238">
        <v>3</v>
      </c>
      <c r="F397" s="251">
        <v>1.7270000000000001</v>
      </c>
      <c r="G397" s="251">
        <v>0</v>
      </c>
      <c r="H397" s="251">
        <v>0</v>
      </c>
      <c r="I397" s="252">
        <v>5.9</v>
      </c>
      <c r="J397" s="252">
        <v>0</v>
      </c>
      <c r="K397" s="252">
        <v>0</v>
      </c>
      <c r="L397" s="251">
        <v>0</v>
      </c>
      <c r="M397" s="238"/>
      <c r="N397" s="236"/>
    </row>
    <row r="398" spans="2:14" ht="27" customHeight="1">
      <c r="B398" s="233"/>
      <c r="C398" s="306" t="s">
        <v>121</v>
      </c>
      <c r="D398" s="238">
        <v>20304</v>
      </c>
      <c r="E398" s="238">
        <v>4</v>
      </c>
      <c r="F398" s="251">
        <v>1.869</v>
      </c>
      <c r="G398" s="251">
        <v>0.996</v>
      </c>
      <c r="H398" s="251">
        <v>0</v>
      </c>
      <c r="I398" s="252">
        <v>5.9</v>
      </c>
      <c r="J398" s="252">
        <v>0</v>
      </c>
      <c r="K398" s="252">
        <v>0</v>
      </c>
      <c r="L398" s="251">
        <v>0</v>
      </c>
      <c r="M398" s="238"/>
      <c r="N398" s="236"/>
    </row>
    <row r="399" spans="2:14" ht="27" customHeight="1">
      <c r="B399" s="233"/>
      <c r="C399" s="306" t="s">
        <v>124</v>
      </c>
      <c r="D399" s="238">
        <v>20305</v>
      </c>
      <c r="E399" s="238">
        <v>4</v>
      </c>
      <c r="F399" s="251">
        <v>0.99199999999999999</v>
      </c>
      <c r="G399" s="251">
        <v>0</v>
      </c>
      <c r="H399" s="251">
        <v>0</v>
      </c>
      <c r="I399" s="252">
        <v>0</v>
      </c>
      <c r="J399" s="252">
        <v>0</v>
      </c>
      <c r="K399" s="252">
        <v>0</v>
      </c>
      <c r="L399" s="251">
        <v>0</v>
      </c>
      <c r="M399" s="238"/>
      <c r="N399" s="236"/>
    </row>
    <row r="400" spans="2:14" ht="27" customHeight="1">
      <c r="B400" s="233"/>
      <c r="C400" s="306" t="s">
        <v>127</v>
      </c>
      <c r="D400" s="238">
        <v>20306</v>
      </c>
      <c r="E400" s="238" t="s">
        <v>929</v>
      </c>
      <c r="F400" s="251">
        <v>1.7689999999999999</v>
      </c>
      <c r="G400" s="251">
        <v>0.97799999999999998</v>
      </c>
      <c r="H400" s="251">
        <v>0</v>
      </c>
      <c r="I400" s="252">
        <v>26.22</v>
      </c>
      <c r="J400" s="252">
        <v>0</v>
      </c>
      <c r="K400" s="252">
        <v>0</v>
      </c>
      <c r="L400" s="251">
        <v>0</v>
      </c>
      <c r="M400" s="238"/>
      <c r="N400" s="236"/>
    </row>
    <row r="401" spans="2:14" ht="27" customHeight="1">
      <c r="B401" s="233"/>
      <c r="C401" s="306" t="s">
        <v>1175</v>
      </c>
      <c r="D401" s="238">
        <v>20307</v>
      </c>
      <c r="E401" s="238"/>
      <c r="F401" s="251">
        <v>9.8480000000000008</v>
      </c>
      <c r="G401" s="251">
        <v>1.2629999999999999</v>
      </c>
      <c r="H401" s="251">
        <v>0.99099999999999999</v>
      </c>
      <c r="I401" s="252">
        <v>3.65</v>
      </c>
      <c r="J401" s="252">
        <v>0</v>
      </c>
      <c r="K401" s="252">
        <v>0</v>
      </c>
      <c r="L401" s="251">
        <v>0</v>
      </c>
      <c r="M401" s="238"/>
      <c r="N401" s="236"/>
    </row>
    <row r="402" spans="2:14" ht="27" customHeight="1">
      <c r="B402" s="233"/>
      <c r="C402" s="306" t="s">
        <v>1174</v>
      </c>
      <c r="D402" s="238">
        <v>20308</v>
      </c>
      <c r="E402" s="238"/>
      <c r="F402" s="251">
        <v>10.026</v>
      </c>
      <c r="G402" s="251">
        <v>1.27</v>
      </c>
      <c r="H402" s="251">
        <v>0.99199999999999999</v>
      </c>
      <c r="I402" s="252">
        <v>5.9</v>
      </c>
      <c r="J402" s="252">
        <v>0</v>
      </c>
      <c r="K402" s="252">
        <v>0</v>
      </c>
      <c r="L402" s="251">
        <v>0</v>
      </c>
      <c r="M402" s="238"/>
      <c r="N402" s="236"/>
    </row>
    <row r="403" spans="2:14" ht="27" customHeight="1">
      <c r="B403" s="233"/>
      <c r="C403" s="306" t="s">
        <v>132</v>
      </c>
      <c r="D403" s="238">
        <v>20309</v>
      </c>
      <c r="E403" s="238"/>
      <c r="F403" s="251">
        <v>7.3140000000000001</v>
      </c>
      <c r="G403" s="251">
        <v>1.129</v>
      </c>
      <c r="H403" s="251">
        <v>0.95899999999999996</v>
      </c>
      <c r="I403" s="252">
        <v>8.32</v>
      </c>
      <c r="J403" s="252">
        <v>2.15</v>
      </c>
      <c r="K403" s="252">
        <v>4.91</v>
      </c>
      <c r="L403" s="251">
        <v>0.107</v>
      </c>
      <c r="M403" s="238"/>
      <c r="N403" s="236"/>
    </row>
    <row r="404" spans="2:14" ht="27" customHeight="1">
      <c r="B404" s="233"/>
      <c r="C404" s="306" t="s">
        <v>139</v>
      </c>
      <c r="D404" s="238">
        <v>20310</v>
      </c>
      <c r="E404" s="238">
        <v>8</v>
      </c>
      <c r="F404" s="251">
        <v>2.09</v>
      </c>
      <c r="G404" s="251">
        <v>0</v>
      </c>
      <c r="H404" s="251">
        <v>0</v>
      </c>
      <c r="I404" s="252">
        <v>0</v>
      </c>
      <c r="J404" s="252">
        <v>0</v>
      </c>
      <c r="K404" s="252">
        <v>0</v>
      </c>
      <c r="L404" s="251">
        <v>0</v>
      </c>
      <c r="M404" s="238"/>
      <c r="N404" s="236"/>
    </row>
    <row r="405" spans="2:14" ht="27" customHeight="1">
      <c r="B405" s="233"/>
      <c r="C405" s="306" t="s">
        <v>142</v>
      </c>
      <c r="D405" s="238">
        <v>20311</v>
      </c>
      <c r="E405" s="238">
        <v>1</v>
      </c>
      <c r="F405" s="251">
        <v>2.3540000000000001</v>
      </c>
      <c r="G405" s="251">
        <v>0</v>
      </c>
      <c r="H405" s="251">
        <v>0</v>
      </c>
      <c r="I405" s="252">
        <v>0</v>
      </c>
      <c r="J405" s="252">
        <v>0</v>
      </c>
      <c r="K405" s="252">
        <v>0</v>
      </c>
      <c r="L405" s="251">
        <v>0</v>
      </c>
      <c r="M405" s="238"/>
      <c r="N405" s="236"/>
    </row>
    <row r="406" spans="2:14" ht="27" customHeight="1">
      <c r="B406" s="233"/>
      <c r="C406" s="306" t="s">
        <v>145</v>
      </c>
      <c r="D406" s="238">
        <v>20312</v>
      </c>
      <c r="E406" s="238">
        <v>1</v>
      </c>
      <c r="F406" s="251">
        <v>2.9740000000000002</v>
      </c>
      <c r="G406" s="251">
        <v>0</v>
      </c>
      <c r="H406" s="251">
        <v>0</v>
      </c>
      <c r="I406" s="252">
        <v>0</v>
      </c>
      <c r="J406" s="252">
        <v>0</v>
      </c>
      <c r="K406" s="252">
        <v>0</v>
      </c>
      <c r="L406" s="251">
        <v>0</v>
      </c>
      <c r="M406" s="238"/>
      <c r="N406" s="236"/>
    </row>
    <row r="407" spans="2:14" ht="27" customHeight="1">
      <c r="B407" s="233"/>
      <c r="C407" s="306" t="s">
        <v>148</v>
      </c>
      <c r="D407" s="238">
        <v>20313</v>
      </c>
      <c r="E407" s="238">
        <v>1</v>
      </c>
      <c r="F407" s="251">
        <v>1.833</v>
      </c>
      <c r="G407" s="251">
        <v>0</v>
      </c>
      <c r="H407" s="251">
        <v>0</v>
      </c>
      <c r="I407" s="252">
        <v>0</v>
      </c>
      <c r="J407" s="252">
        <v>0</v>
      </c>
      <c r="K407" s="252">
        <v>0</v>
      </c>
      <c r="L407" s="251">
        <v>0</v>
      </c>
      <c r="M407" s="238"/>
      <c r="N407" s="236"/>
    </row>
    <row r="408" spans="2:14" ht="27" customHeight="1">
      <c r="B408" s="233"/>
      <c r="C408" s="306" t="s">
        <v>151</v>
      </c>
      <c r="D408" s="238">
        <v>20314</v>
      </c>
      <c r="E408" s="238"/>
      <c r="F408" s="251">
        <v>23.988</v>
      </c>
      <c r="G408" s="251">
        <v>1.867</v>
      </c>
      <c r="H408" s="251">
        <v>1.573</v>
      </c>
      <c r="I408" s="252">
        <v>0</v>
      </c>
      <c r="J408" s="252">
        <v>0</v>
      </c>
      <c r="K408" s="252">
        <v>0</v>
      </c>
      <c r="L408" s="251">
        <v>0</v>
      </c>
      <c r="M408" s="238"/>
      <c r="N408" s="236"/>
    </row>
    <row r="409" spans="2:14" ht="27" customHeight="1">
      <c r="B409" s="233"/>
      <c r="C409" s="306" t="s">
        <v>1173</v>
      </c>
      <c r="D409" s="238">
        <v>20315</v>
      </c>
      <c r="E409" s="238" t="s">
        <v>1169</v>
      </c>
      <c r="F409" s="251">
        <v>-0.78700000000000003</v>
      </c>
      <c r="G409" s="251">
        <v>0</v>
      </c>
      <c r="H409" s="251">
        <v>0</v>
      </c>
      <c r="I409" s="252">
        <v>0</v>
      </c>
      <c r="J409" s="252">
        <v>0</v>
      </c>
      <c r="K409" s="252">
        <v>0</v>
      </c>
      <c r="L409" s="251">
        <v>0</v>
      </c>
      <c r="M409" s="238"/>
      <c r="N409" s="236"/>
    </row>
    <row r="410" spans="2:14" ht="27" customHeight="1">
      <c r="B410" s="233"/>
      <c r="C410" s="306" t="s">
        <v>156</v>
      </c>
      <c r="D410" s="238">
        <v>20316</v>
      </c>
      <c r="E410" s="238"/>
      <c r="F410" s="251">
        <v>-0.78700000000000003</v>
      </c>
      <c r="G410" s="251">
        <v>0</v>
      </c>
      <c r="H410" s="251">
        <v>0</v>
      </c>
      <c r="I410" s="252">
        <v>0</v>
      </c>
      <c r="J410" s="252">
        <v>0</v>
      </c>
      <c r="K410" s="252">
        <v>0</v>
      </c>
      <c r="L410" s="251">
        <v>0.17</v>
      </c>
      <c r="M410" s="238"/>
      <c r="N410" s="236"/>
    </row>
    <row r="411" spans="2:14" ht="27" customHeight="1">
      <c r="B411" s="233"/>
      <c r="C411" s="306" t="s">
        <v>159</v>
      </c>
      <c r="D411" s="238">
        <v>20317</v>
      </c>
      <c r="E411" s="238"/>
      <c r="F411" s="251">
        <v>-9.6340000000000003</v>
      </c>
      <c r="G411" s="251">
        <v>-0.39700000000000002</v>
      </c>
      <c r="H411" s="251">
        <v>-0.104</v>
      </c>
      <c r="I411" s="252">
        <v>0</v>
      </c>
      <c r="J411" s="252">
        <v>0</v>
      </c>
      <c r="K411" s="252">
        <v>0</v>
      </c>
      <c r="L411" s="251">
        <v>0.17</v>
      </c>
      <c r="M411" s="238"/>
      <c r="N411" s="236"/>
    </row>
    <row r="412" spans="2:14" ht="27" customHeight="1">
      <c r="B412" s="233"/>
      <c r="C412" s="306" t="s">
        <v>110</v>
      </c>
      <c r="D412" s="238">
        <v>20318</v>
      </c>
      <c r="E412" s="238">
        <v>1</v>
      </c>
      <c r="F412" s="251">
        <v>1.1519999999999999</v>
      </c>
      <c r="G412" s="251">
        <v>0</v>
      </c>
      <c r="H412" s="251">
        <v>0</v>
      </c>
      <c r="I412" s="252">
        <v>2.2200000000000002</v>
      </c>
      <c r="J412" s="252">
        <v>0</v>
      </c>
      <c r="K412" s="252">
        <v>0</v>
      </c>
      <c r="L412" s="251">
        <v>0</v>
      </c>
      <c r="M412" s="238"/>
      <c r="N412" s="236"/>
    </row>
    <row r="413" spans="2:14" ht="27" customHeight="1">
      <c r="B413" s="233"/>
      <c r="C413" s="306" t="s">
        <v>113</v>
      </c>
      <c r="D413" s="238">
        <v>20319</v>
      </c>
      <c r="E413" s="238">
        <v>2</v>
      </c>
      <c r="F413" s="251">
        <v>1.298</v>
      </c>
      <c r="G413" s="251">
        <v>0.60799999999999998</v>
      </c>
      <c r="H413" s="251">
        <v>0</v>
      </c>
      <c r="I413" s="252">
        <v>2.2200000000000002</v>
      </c>
      <c r="J413" s="252">
        <v>0</v>
      </c>
      <c r="K413" s="252">
        <v>0</v>
      </c>
      <c r="L413" s="251">
        <v>0</v>
      </c>
      <c r="M413" s="238"/>
      <c r="N413" s="236"/>
    </row>
    <row r="414" spans="2:14" ht="27" customHeight="1">
      <c r="B414" s="233"/>
      <c r="C414" s="306" t="s">
        <v>116</v>
      </c>
      <c r="D414" s="238">
        <v>20320</v>
      </c>
      <c r="E414" s="238">
        <v>2</v>
      </c>
      <c r="F414" s="251">
        <v>0.6</v>
      </c>
      <c r="G414" s="251">
        <v>0</v>
      </c>
      <c r="H414" s="251">
        <v>0</v>
      </c>
      <c r="I414" s="252">
        <v>0</v>
      </c>
      <c r="J414" s="252">
        <v>0</v>
      </c>
      <c r="K414" s="252">
        <v>0</v>
      </c>
      <c r="L414" s="251">
        <v>0</v>
      </c>
      <c r="M414" s="238"/>
      <c r="N414" s="236"/>
    </row>
    <row r="415" spans="2:14" ht="27" customHeight="1">
      <c r="B415" s="233"/>
      <c r="C415" s="306" t="s">
        <v>119</v>
      </c>
      <c r="D415" s="238">
        <v>20321</v>
      </c>
      <c r="E415" s="238">
        <v>3</v>
      </c>
      <c r="F415" s="251">
        <v>1.0489999999999999</v>
      </c>
      <c r="G415" s="251">
        <v>0</v>
      </c>
      <c r="H415" s="251">
        <v>0</v>
      </c>
      <c r="I415" s="252">
        <v>3.59</v>
      </c>
      <c r="J415" s="252">
        <v>0</v>
      </c>
      <c r="K415" s="252">
        <v>0</v>
      </c>
      <c r="L415" s="251">
        <v>0</v>
      </c>
      <c r="M415" s="238"/>
      <c r="N415" s="236"/>
    </row>
    <row r="416" spans="2:14" ht="27" customHeight="1">
      <c r="B416" s="233"/>
      <c r="C416" s="306" t="s">
        <v>122</v>
      </c>
      <c r="D416" s="238">
        <v>20322</v>
      </c>
      <c r="E416" s="238">
        <v>4</v>
      </c>
      <c r="F416" s="251">
        <v>1.1359999999999999</v>
      </c>
      <c r="G416" s="251">
        <v>0.60499999999999998</v>
      </c>
      <c r="H416" s="251">
        <v>0</v>
      </c>
      <c r="I416" s="252">
        <v>3.59</v>
      </c>
      <c r="J416" s="252">
        <v>0</v>
      </c>
      <c r="K416" s="252">
        <v>0</v>
      </c>
      <c r="L416" s="251">
        <v>0</v>
      </c>
      <c r="M416" s="238"/>
      <c r="N416" s="236"/>
    </row>
    <row r="417" spans="2:14" ht="27" customHeight="1">
      <c r="B417" s="233"/>
      <c r="C417" s="306" t="s">
        <v>125</v>
      </c>
      <c r="D417" s="238">
        <v>20323</v>
      </c>
      <c r="E417" s="238">
        <v>4</v>
      </c>
      <c r="F417" s="251">
        <v>0.60299999999999998</v>
      </c>
      <c r="G417" s="251">
        <v>0</v>
      </c>
      <c r="H417" s="251">
        <v>0</v>
      </c>
      <c r="I417" s="252">
        <v>0</v>
      </c>
      <c r="J417" s="252">
        <v>0</v>
      </c>
      <c r="K417" s="252">
        <v>0</v>
      </c>
      <c r="L417" s="251">
        <v>0</v>
      </c>
      <c r="M417" s="238"/>
      <c r="N417" s="236"/>
    </row>
    <row r="418" spans="2:14" ht="27" customHeight="1">
      <c r="B418" s="233"/>
      <c r="C418" s="306" t="s">
        <v>128</v>
      </c>
      <c r="D418" s="238">
        <v>20324</v>
      </c>
      <c r="E418" s="238" t="s">
        <v>929</v>
      </c>
      <c r="F418" s="251">
        <v>1.075</v>
      </c>
      <c r="G418" s="251">
        <v>0.59399999999999997</v>
      </c>
      <c r="H418" s="251">
        <v>0</v>
      </c>
      <c r="I418" s="252">
        <v>15.93</v>
      </c>
      <c r="J418" s="252">
        <v>0</v>
      </c>
      <c r="K418" s="252">
        <v>0</v>
      </c>
      <c r="L418" s="251">
        <v>0</v>
      </c>
      <c r="M418" s="238"/>
      <c r="N418" s="236"/>
    </row>
    <row r="419" spans="2:14" ht="27" customHeight="1">
      <c r="B419" s="233"/>
      <c r="C419" s="306" t="s">
        <v>1172</v>
      </c>
      <c r="D419" s="238">
        <v>20325</v>
      </c>
      <c r="E419" s="238"/>
      <c r="F419" s="251">
        <v>5.984</v>
      </c>
      <c r="G419" s="251">
        <v>0.76700000000000002</v>
      </c>
      <c r="H419" s="251">
        <v>0.60199999999999998</v>
      </c>
      <c r="I419" s="252">
        <v>2.2200000000000002</v>
      </c>
      <c r="J419" s="252">
        <v>0</v>
      </c>
      <c r="K419" s="252">
        <v>0</v>
      </c>
      <c r="L419" s="251">
        <v>0</v>
      </c>
      <c r="M419" s="238"/>
      <c r="N419" s="236"/>
    </row>
    <row r="420" spans="2:14" ht="27" customHeight="1">
      <c r="B420" s="233"/>
      <c r="C420" s="306" t="s">
        <v>1171</v>
      </c>
      <c r="D420" s="238">
        <v>20326</v>
      </c>
      <c r="E420" s="238"/>
      <c r="F420" s="251">
        <v>6.0919999999999996</v>
      </c>
      <c r="G420" s="251">
        <v>0.77200000000000002</v>
      </c>
      <c r="H420" s="251">
        <v>0.60299999999999998</v>
      </c>
      <c r="I420" s="252">
        <v>3.59</v>
      </c>
      <c r="J420" s="252">
        <v>0</v>
      </c>
      <c r="K420" s="252">
        <v>0</v>
      </c>
      <c r="L420" s="251">
        <v>0</v>
      </c>
      <c r="M420" s="238"/>
      <c r="N420" s="236"/>
    </row>
    <row r="421" spans="2:14" ht="27" customHeight="1">
      <c r="B421" s="233"/>
      <c r="C421" s="306" t="s">
        <v>133</v>
      </c>
      <c r="D421" s="238">
        <v>20327</v>
      </c>
      <c r="E421" s="238"/>
      <c r="F421" s="251">
        <v>4.444</v>
      </c>
      <c r="G421" s="251">
        <v>0.68600000000000005</v>
      </c>
      <c r="H421" s="251">
        <v>0.58299999999999996</v>
      </c>
      <c r="I421" s="252">
        <v>5.0599999999999996</v>
      </c>
      <c r="J421" s="252">
        <v>1.31</v>
      </c>
      <c r="K421" s="252">
        <v>2.98</v>
      </c>
      <c r="L421" s="251">
        <v>6.5000000000000002E-2</v>
      </c>
      <c r="M421" s="238"/>
      <c r="N421" s="236"/>
    </row>
    <row r="422" spans="2:14" ht="27" customHeight="1">
      <c r="B422" s="233"/>
      <c r="C422" s="306" t="s">
        <v>135</v>
      </c>
      <c r="D422" s="238">
        <v>20328</v>
      </c>
      <c r="E422" s="238"/>
      <c r="F422" s="251">
        <v>5.8540000000000001</v>
      </c>
      <c r="G422" s="251">
        <v>1.0289999999999999</v>
      </c>
      <c r="H422" s="251">
        <v>0.93500000000000005</v>
      </c>
      <c r="I422" s="252">
        <v>6.39</v>
      </c>
      <c r="J422" s="252">
        <v>2.2999999999999998</v>
      </c>
      <c r="K422" s="252">
        <v>4.7300000000000004</v>
      </c>
      <c r="L422" s="251">
        <v>7.5999999999999998E-2</v>
      </c>
      <c r="M422" s="238"/>
      <c r="N422" s="236"/>
    </row>
    <row r="423" spans="2:14" ht="27" customHeight="1">
      <c r="B423" s="233"/>
      <c r="C423" s="306" t="s">
        <v>137</v>
      </c>
      <c r="D423" s="238">
        <v>20329</v>
      </c>
      <c r="E423" s="238"/>
      <c r="F423" s="251">
        <v>5.4210000000000003</v>
      </c>
      <c r="G423" s="251">
        <v>1.139</v>
      </c>
      <c r="H423" s="251">
        <v>1.0900000000000001</v>
      </c>
      <c r="I423" s="252">
        <v>75.2</v>
      </c>
      <c r="J423" s="252">
        <v>2.3199999999999998</v>
      </c>
      <c r="K423" s="252">
        <v>5.69</v>
      </c>
      <c r="L423" s="251">
        <v>0.06</v>
      </c>
      <c r="M423" s="238"/>
      <c r="N423" s="236"/>
    </row>
    <row r="424" spans="2:14" ht="27" customHeight="1">
      <c r="B424" s="233"/>
      <c r="C424" s="306" t="s">
        <v>140</v>
      </c>
      <c r="D424" s="238">
        <v>20330</v>
      </c>
      <c r="E424" s="238">
        <v>8</v>
      </c>
      <c r="F424" s="251">
        <v>1.27</v>
      </c>
      <c r="G424" s="251">
        <v>0</v>
      </c>
      <c r="H424" s="251">
        <v>0</v>
      </c>
      <c r="I424" s="252">
        <v>0</v>
      </c>
      <c r="J424" s="252">
        <v>0</v>
      </c>
      <c r="K424" s="252">
        <v>0</v>
      </c>
      <c r="L424" s="251">
        <v>0</v>
      </c>
      <c r="M424" s="238"/>
      <c r="N424" s="236"/>
    </row>
    <row r="425" spans="2:14" ht="27" customHeight="1">
      <c r="B425" s="233"/>
      <c r="C425" s="306" t="s">
        <v>143</v>
      </c>
      <c r="D425" s="238">
        <v>20331</v>
      </c>
      <c r="E425" s="238">
        <v>1</v>
      </c>
      <c r="F425" s="251">
        <v>1.43</v>
      </c>
      <c r="G425" s="251">
        <v>0</v>
      </c>
      <c r="H425" s="251">
        <v>0</v>
      </c>
      <c r="I425" s="252">
        <v>0</v>
      </c>
      <c r="J425" s="252">
        <v>0</v>
      </c>
      <c r="K425" s="252">
        <v>0</v>
      </c>
      <c r="L425" s="251">
        <v>0</v>
      </c>
      <c r="M425" s="238"/>
      <c r="N425" s="236"/>
    </row>
    <row r="426" spans="2:14" ht="27" customHeight="1">
      <c r="B426" s="233"/>
      <c r="C426" s="306" t="s">
        <v>146</v>
      </c>
      <c r="D426" s="238">
        <v>20332</v>
      </c>
      <c r="E426" s="238">
        <v>1</v>
      </c>
      <c r="F426" s="251">
        <v>1.8069999999999999</v>
      </c>
      <c r="G426" s="251">
        <v>0</v>
      </c>
      <c r="H426" s="251">
        <v>0</v>
      </c>
      <c r="I426" s="252">
        <v>0</v>
      </c>
      <c r="J426" s="252">
        <v>0</v>
      </c>
      <c r="K426" s="252">
        <v>0</v>
      </c>
      <c r="L426" s="251">
        <v>0</v>
      </c>
      <c r="M426" s="238"/>
      <c r="N426" s="236"/>
    </row>
    <row r="427" spans="2:14" ht="27" customHeight="1">
      <c r="B427" s="233"/>
      <c r="C427" s="306" t="s">
        <v>149</v>
      </c>
      <c r="D427" s="238">
        <v>20333</v>
      </c>
      <c r="E427" s="238">
        <v>1</v>
      </c>
      <c r="F427" s="251">
        <v>1.1140000000000001</v>
      </c>
      <c r="G427" s="251">
        <v>0</v>
      </c>
      <c r="H427" s="251">
        <v>0</v>
      </c>
      <c r="I427" s="252">
        <v>0</v>
      </c>
      <c r="J427" s="252">
        <v>0</v>
      </c>
      <c r="K427" s="252">
        <v>0</v>
      </c>
      <c r="L427" s="251">
        <v>0</v>
      </c>
      <c r="M427" s="238"/>
      <c r="N427" s="236"/>
    </row>
    <row r="428" spans="2:14" ht="27" customHeight="1">
      <c r="B428" s="233"/>
      <c r="C428" s="306" t="s">
        <v>152</v>
      </c>
      <c r="D428" s="238">
        <v>20334</v>
      </c>
      <c r="E428" s="238"/>
      <c r="F428" s="251">
        <v>14.576000000000001</v>
      </c>
      <c r="G428" s="251">
        <v>1.1339999999999999</v>
      </c>
      <c r="H428" s="251">
        <v>0.95599999999999996</v>
      </c>
      <c r="I428" s="252">
        <v>0</v>
      </c>
      <c r="J428" s="252">
        <v>0</v>
      </c>
      <c r="K428" s="252">
        <v>0</v>
      </c>
      <c r="L428" s="251">
        <v>0</v>
      </c>
      <c r="M428" s="238"/>
      <c r="N428" s="236"/>
    </row>
    <row r="429" spans="2:14" ht="27" customHeight="1">
      <c r="B429" s="233"/>
      <c r="C429" s="306" t="s">
        <v>1170</v>
      </c>
      <c r="D429" s="238">
        <v>20335</v>
      </c>
      <c r="E429" s="238" t="s">
        <v>1169</v>
      </c>
      <c r="F429" s="251">
        <v>-0.78700000000000003</v>
      </c>
      <c r="G429" s="251">
        <v>0</v>
      </c>
      <c r="H429" s="251">
        <v>0</v>
      </c>
      <c r="I429" s="252">
        <v>0</v>
      </c>
      <c r="J429" s="252">
        <v>0</v>
      </c>
      <c r="K429" s="252">
        <v>0</v>
      </c>
      <c r="L429" s="251">
        <v>0</v>
      </c>
      <c r="M429" s="238"/>
      <c r="N429" s="236"/>
    </row>
    <row r="430" spans="2:14" ht="27" customHeight="1">
      <c r="B430" s="233"/>
      <c r="C430" s="306" t="s">
        <v>154</v>
      </c>
      <c r="D430" s="238">
        <v>20336</v>
      </c>
      <c r="E430" s="238">
        <v>8</v>
      </c>
      <c r="F430" s="251">
        <v>-0.71199999999999997</v>
      </c>
      <c r="G430" s="251">
        <v>0</v>
      </c>
      <c r="H430" s="251">
        <v>0</v>
      </c>
      <c r="I430" s="252">
        <v>0</v>
      </c>
      <c r="J430" s="252">
        <v>0</v>
      </c>
      <c r="K430" s="252">
        <v>0</v>
      </c>
      <c r="L430" s="251">
        <v>0</v>
      </c>
      <c r="M430" s="238"/>
      <c r="N430" s="236"/>
    </row>
    <row r="431" spans="2:14" ht="27" customHeight="1">
      <c r="B431" s="233"/>
      <c r="C431" s="306" t="s">
        <v>157</v>
      </c>
      <c r="D431" s="238">
        <v>20337</v>
      </c>
      <c r="E431" s="238"/>
      <c r="F431" s="251">
        <v>-0.78700000000000003</v>
      </c>
      <c r="G431" s="251">
        <v>0</v>
      </c>
      <c r="H431" s="251">
        <v>0</v>
      </c>
      <c r="I431" s="252">
        <v>0</v>
      </c>
      <c r="J431" s="252">
        <v>0</v>
      </c>
      <c r="K431" s="252">
        <v>0</v>
      </c>
      <c r="L431" s="251">
        <v>0.17</v>
      </c>
      <c r="M431" s="238"/>
      <c r="N431" s="236"/>
    </row>
    <row r="432" spans="2:14" ht="27" customHeight="1">
      <c r="B432" s="233"/>
      <c r="C432" s="306" t="s">
        <v>160</v>
      </c>
      <c r="D432" s="238">
        <v>20338</v>
      </c>
      <c r="E432" s="238"/>
      <c r="F432" s="251">
        <v>-9.6340000000000003</v>
      </c>
      <c r="G432" s="251">
        <v>-0.39700000000000002</v>
      </c>
      <c r="H432" s="251">
        <v>-0.104</v>
      </c>
      <c r="I432" s="252">
        <v>0</v>
      </c>
      <c r="J432" s="252">
        <v>0</v>
      </c>
      <c r="K432" s="252">
        <v>0</v>
      </c>
      <c r="L432" s="251">
        <v>0.17</v>
      </c>
      <c r="M432" s="238"/>
      <c r="N432" s="236"/>
    </row>
    <row r="433" spans="2:14" ht="27" customHeight="1">
      <c r="B433" s="233"/>
      <c r="C433" s="306" t="s">
        <v>162</v>
      </c>
      <c r="D433" s="238">
        <v>20339</v>
      </c>
      <c r="E433" s="238"/>
      <c r="F433" s="251">
        <v>-0.71199999999999997</v>
      </c>
      <c r="G433" s="251">
        <v>0</v>
      </c>
      <c r="H433" s="251">
        <v>0</v>
      </c>
      <c r="I433" s="252">
        <v>0</v>
      </c>
      <c r="J433" s="252">
        <v>0</v>
      </c>
      <c r="K433" s="252">
        <v>0</v>
      </c>
      <c r="L433" s="251">
        <v>0.14199999999999999</v>
      </c>
      <c r="M433" s="238"/>
      <c r="N433" s="236"/>
    </row>
    <row r="434" spans="2:14" ht="27" customHeight="1">
      <c r="B434" s="233"/>
      <c r="C434" s="306" t="s">
        <v>164</v>
      </c>
      <c r="D434" s="238">
        <v>20340</v>
      </c>
      <c r="E434" s="238"/>
      <c r="F434" s="251">
        <v>-8.8510000000000009</v>
      </c>
      <c r="G434" s="251">
        <v>-0.34</v>
      </c>
      <c r="H434" s="251">
        <v>-9.1999999999999998E-2</v>
      </c>
      <c r="I434" s="252">
        <v>0</v>
      </c>
      <c r="J434" s="252">
        <v>0</v>
      </c>
      <c r="K434" s="252">
        <v>0</v>
      </c>
      <c r="L434" s="251">
        <v>0.14199999999999999</v>
      </c>
      <c r="M434" s="238"/>
      <c r="N434" s="236"/>
    </row>
    <row r="435" spans="2:14" ht="27" customHeight="1">
      <c r="B435" s="233"/>
      <c r="C435" s="306" t="s">
        <v>166</v>
      </c>
      <c r="D435" s="238">
        <v>20341</v>
      </c>
      <c r="E435" s="238"/>
      <c r="F435" s="251">
        <v>-0.45400000000000001</v>
      </c>
      <c r="G435" s="251">
        <v>0</v>
      </c>
      <c r="H435" s="251">
        <v>0</v>
      </c>
      <c r="I435" s="252">
        <v>0</v>
      </c>
      <c r="J435" s="252">
        <v>0</v>
      </c>
      <c r="K435" s="252">
        <v>0</v>
      </c>
      <c r="L435" s="251">
        <v>0.109</v>
      </c>
      <c r="M435" s="238"/>
      <c r="N435" s="236"/>
    </row>
    <row r="436" spans="2:14" ht="27" customHeight="1">
      <c r="B436" s="233"/>
      <c r="C436" s="306" t="s">
        <v>168</v>
      </c>
      <c r="D436" s="238">
        <v>20342</v>
      </c>
      <c r="E436" s="238"/>
      <c r="F436" s="251">
        <v>-6.157</v>
      </c>
      <c r="G436" s="251">
        <v>-0.14799999999999999</v>
      </c>
      <c r="H436" s="251">
        <v>-5.1999999999999998E-2</v>
      </c>
      <c r="I436" s="252">
        <v>0</v>
      </c>
      <c r="J436" s="252">
        <v>0</v>
      </c>
      <c r="K436" s="252">
        <v>0</v>
      </c>
      <c r="L436" s="251">
        <v>0.109</v>
      </c>
      <c r="M436" s="238"/>
      <c r="N436" s="236"/>
    </row>
    <row r="437" spans="2:14" ht="13.5" thickBot="1">
      <c r="B437" s="239"/>
      <c r="C437" s="240"/>
      <c r="D437" s="240"/>
      <c r="E437" s="240"/>
      <c r="F437" s="240"/>
      <c r="G437" s="240"/>
      <c r="H437" s="240"/>
      <c r="I437" s="240"/>
      <c r="J437" s="240"/>
      <c r="K437" s="240"/>
      <c r="L437" s="240"/>
      <c r="M437" s="240"/>
      <c r="N437" s="241"/>
    </row>
  </sheetData>
  <mergeCells count="1">
    <mergeCell ref="F5:J7"/>
  </mergeCells>
  <phoneticPr fontId="49" type="noConversion"/>
  <hyperlinks>
    <hyperlink ref="D6" location="'Tariffs ARP'!C20" display="'Tariffs ARP'!C20"/>
    <hyperlink ref="D7" location="'Tariffs ARP'!C105" display="'Tariffs ARP'!C105"/>
    <hyperlink ref="D8" location="'Tariffs ARP'!C190" display="'Tariffs ARP'!C190"/>
    <hyperlink ref="D9" location="'Tariffs ARP'!C275" display="'Tariffs ARP'!C275"/>
    <hyperlink ref="D10" location="'Tariffs ARP'!C360" display="'Tariffs ARP'!C360"/>
  </hyperlinks>
  <pageMargins left="0.75" right="0.75" top="0.98" bottom="0.98" header="0.51" footer="0.51"/>
  <pageSetup paperSize="9" scale="29" fitToHeight="4" orientation="portrait" r:id="rId1"/>
  <headerFooter alignWithMargins="0"/>
  <rowBreaks count="4" manualBreakCount="4">
    <brk id="99" max="16383" man="1"/>
    <brk id="184" min="1" max="12" man="1"/>
    <brk id="269" min="1" max="12" man="1"/>
    <brk id="354" min="1" max="12" man="1"/>
  </rowBreaks>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7"/>
  </sheetPr>
  <dimension ref="B2:G128"/>
  <sheetViews>
    <sheetView showGridLines="0" view="pageBreakPreview" topLeftCell="A4" zoomScaleSheetLayoutView="55" workbookViewId="0">
      <selection activeCell="G20" sqref="G20:G128"/>
    </sheetView>
  </sheetViews>
  <sheetFormatPr defaultColWidth="8.85546875" defaultRowHeight="15.95" customHeight="1"/>
  <cols>
    <col min="1" max="1" width="8.85546875" style="28"/>
    <col min="2" max="2" width="87.42578125" style="28" customWidth="1"/>
    <col min="3" max="7" width="19.28515625" style="28" customWidth="1"/>
    <col min="8" max="226" width="20.7109375" style="28" customWidth="1"/>
    <col min="227" max="16384" width="8.85546875" style="28"/>
  </cols>
  <sheetData>
    <row r="2" spans="2:7" ht="15.95" customHeight="1">
      <c r="B2" s="211"/>
      <c r="D2" s="211"/>
      <c r="F2" s="211"/>
    </row>
    <row r="3" spans="2:7" ht="15.95" customHeight="1">
      <c r="B3" s="371" t="s">
        <v>1256</v>
      </c>
      <c r="C3" s="371"/>
      <c r="D3" s="371"/>
      <c r="E3" s="371"/>
      <c r="F3" s="371"/>
      <c r="G3" s="212"/>
    </row>
    <row r="4" spans="2:7" ht="15.95" customHeight="1">
      <c r="B4" s="371"/>
      <c r="C4" s="371"/>
      <c r="D4" s="371"/>
      <c r="E4" s="371"/>
      <c r="F4" s="371"/>
      <c r="G4" s="212"/>
    </row>
    <row r="5" spans="2:7" ht="15.95" customHeight="1">
      <c r="B5" s="371"/>
      <c r="C5" s="371"/>
      <c r="D5" s="371"/>
      <c r="E5" s="371"/>
      <c r="F5" s="371"/>
      <c r="G5" s="212"/>
    </row>
    <row r="6" spans="2:7" ht="15.95" customHeight="1">
      <c r="B6" s="213"/>
      <c r="D6" s="211"/>
      <c r="F6" s="211"/>
    </row>
    <row r="7" spans="2:7" ht="15.95" customHeight="1">
      <c r="B7" s="213"/>
      <c r="D7" s="211"/>
      <c r="F7" s="211"/>
    </row>
    <row r="8" spans="2:7" ht="15.95" customHeight="1">
      <c r="B8" s="213"/>
      <c r="D8" s="211"/>
      <c r="F8" s="211"/>
    </row>
    <row r="9" spans="2:7" ht="15.95" customHeight="1">
      <c r="F9" s="214"/>
    </row>
    <row r="10" spans="2:7" ht="15.95" customHeight="1">
      <c r="F10" s="211"/>
    </row>
    <row r="11" spans="2:7" ht="15.95" customHeight="1">
      <c r="B11" s="215"/>
    </row>
    <row r="12" spans="2:7" ht="15.95" customHeight="1">
      <c r="B12" s="216"/>
    </row>
    <row r="13" spans="2:7" ht="15.95" customHeight="1">
      <c r="B13" s="217" t="str">
        <f>'CDCM Forecast Data'!E3&amp;" - 5 Year Typical Bill"</f>
        <v>WPD South West - 5 Year Typical Bill</v>
      </c>
    </row>
    <row r="14" spans="2:7" ht="15.95" customHeight="1">
      <c r="B14" s="217"/>
    </row>
    <row r="15" spans="2:7" ht="15.95" customHeight="1">
      <c r="B15" s="218" t="s">
        <v>1114</v>
      </c>
      <c r="C15" s="218"/>
      <c r="D15" s="218"/>
      <c r="E15" s="218"/>
      <c r="F15" s="218"/>
      <c r="G15" s="218"/>
    </row>
    <row r="16" spans="2:7" ht="15.95" customHeight="1">
      <c r="B16" s="220"/>
      <c r="C16" s="219"/>
      <c r="D16" s="219"/>
      <c r="E16" s="219"/>
      <c r="F16" s="219"/>
      <c r="G16" s="219"/>
    </row>
    <row r="17" spans="2:7" ht="15.95" customHeight="1">
      <c r="B17" s="220"/>
      <c r="C17" s="219"/>
      <c r="D17" s="219"/>
      <c r="E17" s="219"/>
      <c r="F17" s="219"/>
      <c r="G17" s="219"/>
    </row>
    <row r="18" spans="2:7" ht="15.95" customHeight="1">
      <c r="B18" s="221"/>
      <c r="C18" s="222" t="str">
        <f>+'CDCM Forecast Data'!E10</f>
        <v>Y</v>
      </c>
      <c r="D18" s="222" t="str">
        <f>+'CDCM Forecast Data'!F10</f>
        <v>Y+1</v>
      </c>
      <c r="E18" s="222" t="str">
        <f>+'CDCM Forecast Data'!G10</f>
        <v>Y+2</v>
      </c>
      <c r="F18" s="222" t="str">
        <f>+'CDCM Forecast Data'!H10</f>
        <v>Y+3</v>
      </c>
      <c r="G18" s="222" t="str">
        <f>+'CDCM Forecast Data'!I10</f>
        <v>Y+4</v>
      </c>
    </row>
    <row r="19" spans="2:7" ht="15.95" customHeight="1">
      <c r="B19" s="21" t="s">
        <v>1113</v>
      </c>
      <c r="C19" s="223" t="str">
        <f>+'CDCM Forecast Data'!E11</f>
        <v>2018/19</v>
      </c>
      <c r="D19" s="223" t="str">
        <f>+'CDCM Forecast Data'!F11</f>
        <v>2019/20</v>
      </c>
      <c r="E19" s="223" t="str">
        <f>+'CDCM Forecast Data'!G11</f>
        <v>2020/21</v>
      </c>
      <c r="F19" s="223" t="str">
        <f>+'CDCM Forecast Data'!H11</f>
        <v>2021/22</v>
      </c>
      <c r="G19" s="223" t="str">
        <f>+'CDCM Forecast Data'!I11</f>
        <v>2022/23</v>
      </c>
    </row>
    <row r="20" spans="2:7" ht="15.95" customHeight="1">
      <c r="B20" s="288" t="s">
        <v>108</v>
      </c>
      <c r="C20" s="224"/>
      <c r="D20" s="224"/>
      <c r="E20" s="224"/>
      <c r="F20" s="224"/>
      <c r="G20" s="224"/>
    </row>
    <row r="21" spans="2:7" ht="15.95" customHeight="1">
      <c r="B21" s="285" t="s">
        <v>54</v>
      </c>
      <c r="C21" s="225">
        <v>111.86401165295992</v>
      </c>
      <c r="D21" s="225">
        <v>116.79414758332824</v>
      </c>
      <c r="E21" s="225">
        <v>119.32806355238084</v>
      </c>
      <c r="F21" s="225">
        <v>122.13381094447851</v>
      </c>
      <c r="G21" s="225">
        <v>125.4812760442303</v>
      </c>
    </row>
    <row r="22" spans="2:7" ht="15.95" customHeight="1">
      <c r="B22" s="285" t="s">
        <v>109</v>
      </c>
      <c r="C22" s="225">
        <v>57.350439970470042</v>
      </c>
      <c r="D22" s="225">
        <v>59.842247041828493</v>
      </c>
      <c r="E22" s="225">
        <v>61.183903339265775</v>
      </c>
      <c r="F22" s="225">
        <v>62.64521089619052</v>
      </c>
      <c r="G22" s="225">
        <v>64.365869712602731</v>
      </c>
    </row>
    <row r="23" spans="2:7" ht="15.95" customHeight="1">
      <c r="B23" s="285" t="s">
        <v>110</v>
      </c>
      <c r="C23" s="225">
        <v>33.541422723087983</v>
      </c>
      <c r="D23" s="225">
        <v>34.990816001987035</v>
      </c>
      <c r="E23" s="225">
        <v>35.769013061505362</v>
      </c>
      <c r="F23" s="225">
        <v>36.607942894265292</v>
      </c>
      <c r="G23" s="225">
        <v>37.632438693577186</v>
      </c>
    </row>
    <row r="24" spans="2:7" ht="15.95" customHeight="1">
      <c r="B24" s="288" t="s">
        <v>111</v>
      </c>
      <c r="C24" s="225"/>
      <c r="D24" s="225"/>
      <c r="E24" s="225"/>
      <c r="F24" s="225"/>
      <c r="G24" s="225"/>
    </row>
    <row r="25" spans="2:7" ht="15.95" customHeight="1">
      <c r="B25" s="285" t="s">
        <v>55</v>
      </c>
      <c r="C25" s="225">
        <v>152.7094953236583</v>
      </c>
      <c r="D25" s="225">
        <v>159.91288940174169</v>
      </c>
      <c r="E25" s="225">
        <v>162.97491838277125</v>
      </c>
      <c r="F25" s="225">
        <v>166.56977871938784</v>
      </c>
      <c r="G25" s="225">
        <v>170.95653615008919</v>
      </c>
    </row>
    <row r="26" spans="2:7" ht="15.95" customHeight="1">
      <c r="B26" s="285" t="s">
        <v>112</v>
      </c>
      <c r="C26" s="225">
        <v>66.348424934542976</v>
      </c>
      <c r="D26" s="225">
        <v>69.289270430400464</v>
      </c>
      <c r="E26" s="225">
        <v>70.79455596346682</v>
      </c>
      <c r="F26" s="225">
        <v>72.426519711669684</v>
      </c>
      <c r="G26" s="225">
        <v>74.406196909271713</v>
      </c>
    </row>
    <row r="27" spans="2:7" ht="15.95" customHeight="1">
      <c r="B27" s="285" t="s">
        <v>113</v>
      </c>
      <c r="C27" s="225">
        <v>43.341088954615749</v>
      </c>
      <c r="D27" s="225">
        <v>45.28189098393517</v>
      </c>
      <c r="E27" s="225">
        <v>46.238475988131171</v>
      </c>
      <c r="F27" s="225">
        <v>47.301595070793319</v>
      </c>
      <c r="G27" s="225">
        <v>48.596457910158286</v>
      </c>
    </row>
    <row r="28" spans="2:7" ht="15.95" customHeight="1">
      <c r="B28" s="288" t="s">
        <v>114</v>
      </c>
      <c r="C28" s="225"/>
      <c r="D28" s="225"/>
      <c r="E28" s="225"/>
      <c r="F28" s="225"/>
      <c r="G28" s="225"/>
    </row>
    <row r="29" spans="2:7" ht="15.95" customHeight="1">
      <c r="B29" s="285" t="s">
        <v>91</v>
      </c>
      <c r="C29" s="225">
        <v>41.658524542309131</v>
      </c>
      <c r="D29" s="225">
        <v>44.01211349950173</v>
      </c>
      <c r="E29" s="225">
        <v>44.512251152905151</v>
      </c>
      <c r="F29" s="225">
        <v>45.247747702027851</v>
      </c>
      <c r="G29" s="225">
        <v>46.277442870799611</v>
      </c>
    </row>
    <row r="30" spans="2:7" ht="15.95" customHeight="1">
      <c r="B30" s="285" t="s">
        <v>115</v>
      </c>
      <c r="C30" s="225" t="s">
        <v>224</v>
      </c>
      <c r="D30" s="225" t="s">
        <v>224</v>
      </c>
      <c r="E30" s="225" t="s">
        <v>224</v>
      </c>
      <c r="F30" s="225" t="s">
        <v>224</v>
      </c>
      <c r="G30" s="225" t="s">
        <v>224</v>
      </c>
    </row>
    <row r="31" spans="2:7" ht="15.95" customHeight="1">
      <c r="B31" s="285" t="s">
        <v>116</v>
      </c>
      <c r="C31" s="225" t="s">
        <v>224</v>
      </c>
      <c r="D31" s="225" t="s">
        <v>224</v>
      </c>
      <c r="E31" s="225" t="s">
        <v>224</v>
      </c>
      <c r="F31" s="225" t="s">
        <v>224</v>
      </c>
      <c r="G31" s="225" t="s">
        <v>224</v>
      </c>
    </row>
    <row r="32" spans="2:7" ht="15.95" customHeight="1">
      <c r="B32" s="288" t="s">
        <v>117</v>
      </c>
      <c r="C32" s="225"/>
      <c r="D32" s="225"/>
      <c r="E32" s="225"/>
      <c r="F32" s="225"/>
      <c r="G32" s="225"/>
    </row>
    <row r="33" spans="2:7" ht="15.95" customHeight="1">
      <c r="B33" s="285" t="s">
        <v>56</v>
      </c>
      <c r="C33" s="225">
        <v>293.96142669497681</v>
      </c>
      <c r="D33" s="225">
        <v>307.29998098396311</v>
      </c>
      <c r="E33" s="225">
        <v>313.55011770948317</v>
      </c>
      <c r="F33" s="225">
        <v>320.73056601164001</v>
      </c>
      <c r="G33" s="225">
        <v>329.25104704809723</v>
      </c>
    </row>
    <row r="34" spans="2:7" ht="15.95" customHeight="1">
      <c r="B34" s="285" t="s">
        <v>118</v>
      </c>
      <c r="C34" s="225">
        <v>114.33144181385457</v>
      </c>
      <c r="D34" s="225">
        <v>119.35624791275124</v>
      </c>
      <c r="E34" s="225">
        <v>121.87136164977616</v>
      </c>
      <c r="F34" s="225">
        <v>124.71834256170918</v>
      </c>
      <c r="G34" s="225">
        <v>128.05266851103491</v>
      </c>
    </row>
    <row r="35" spans="2:7" ht="15.95" customHeight="1">
      <c r="B35" s="285" t="s">
        <v>119</v>
      </c>
      <c r="C35" s="225">
        <v>161.51410441072355</v>
      </c>
      <c r="D35" s="225">
        <v>169.07673215723636</v>
      </c>
      <c r="E35" s="225">
        <v>172.31808325584154</v>
      </c>
      <c r="F35" s="225">
        <v>176.32807077072587</v>
      </c>
      <c r="G35" s="225">
        <v>180.88820013537773</v>
      </c>
    </row>
    <row r="36" spans="2:7" ht="15.95" customHeight="1">
      <c r="B36" s="288" t="s">
        <v>120</v>
      </c>
      <c r="C36" s="225"/>
      <c r="D36" s="225"/>
      <c r="E36" s="225"/>
      <c r="F36" s="225"/>
      <c r="G36" s="225"/>
    </row>
    <row r="37" spans="2:7" ht="15.95" customHeight="1">
      <c r="B37" s="285" t="s">
        <v>57</v>
      </c>
      <c r="C37" s="225">
        <v>475.81431562112346</v>
      </c>
      <c r="D37" s="225">
        <v>498.24488100888175</v>
      </c>
      <c r="E37" s="225">
        <v>507.73394618465431</v>
      </c>
      <c r="F37" s="225">
        <v>518.85735557306668</v>
      </c>
      <c r="G37" s="225">
        <v>532.37234654298834</v>
      </c>
    </row>
    <row r="38" spans="2:7" ht="15.95" customHeight="1">
      <c r="B38" s="285" t="s">
        <v>121</v>
      </c>
      <c r="C38" s="225">
        <v>325.1448454782934</v>
      </c>
      <c r="D38" s="225">
        <v>340.45239312195895</v>
      </c>
      <c r="E38" s="225">
        <v>346.89605594381817</v>
      </c>
      <c r="F38" s="225">
        <v>354.53724070782579</v>
      </c>
      <c r="G38" s="225">
        <v>363.72099325398921</v>
      </c>
    </row>
    <row r="39" spans="2:7" ht="15.95" customHeight="1">
      <c r="B39" s="285" t="s">
        <v>122</v>
      </c>
      <c r="C39" s="225">
        <v>470.61320367286356</v>
      </c>
      <c r="D39" s="225">
        <v>492.88618611894526</v>
      </c>
      <c r="E39" s="225">
        <v>502.16945651967433</v>
      </c>
      <c r="F39" s="225">
        <v>513.43663190988366</v>
      </c>
      <c r="G39" s="225">
        <v>526.67859190330387</v>
      </c>
    </row>
    <row r="40" spans="2:7" ht="15.95" customHeight="1">
      <c r="B40" s="288" t="s">
        <v>123</v>
      </c>
      <c r="C40" s="225"/>
      <c r="D40" s="225"/>
      <c r="E40" s="225"/>
      <c r="F40" s="225"/>
      <c r="G40" s="225"/>
    </row>
    <row r="41" spans="2:7" ht="15.95" customHeight="1">
      <c r="B41" s="285" t="s">
        <v>92</v>
      </c>
      <c r="C41" s="225">
        <v>73.864698824047366</v>
      </c>
      <c r="D41" s="225">
        <v>78.014401005173625</v>
      </c>
      <c r="E41" s="225">
        <v>78.948083995927036</v>
      </c>
      <c r="F41" s="225">
        <v>80.244865927528991</v>
      </c>
      <c r="G41" s="225">
        <v>82.060360631771729</v>
      </c>
    </row>
    <row r="42" spans="2:7" ht="15.95" customHeight="1">
      <c r="B42" s="285" t="s">
        <v>124</v>
      </c>
      <c r="C42" s="225" t="s">
        <v>224</v>
      </c>
      <c r="D42" s="225" t="s">
        <v>224</v>
      </c>
      <c r="E42" s="225" t="s">
        <v>224</v>
      </c>
      <c r="F42" s="225" t="s">
        <v>224</v>
      </c>
      <c r="G42" s="225" t="s">
        <v>224</v>
      </c>
    </row>
    <row r="43" spans="2:7" ht="15.95" customHeight="1">
      <c r="B43" s="285" t="s">
        <v>125</v>
      </c>
      <c r="C43" s="225" t="s">
        <v>224</v>
      </c>
      <c r="D43" s="225" t="s">
        <v>224</v>
      </c>
      <c r="E43" s="225" t="s">
        <v>224</v>
      </c>
      <c r="F43" s="225" t="s">
        <v>224</v>
      </c>
      <c r="G43" s="225" t="s">
        <v>224</v>
      </c>
    </row>
    <row r="44" spans="2:7" ht="15.95" customHeight="1">
      <c r="B44" s="288" t="s">
        <v>126</v>
      </c>
      <c r="C44" s="225"/>
      <c r="D44" s="225"/>
      <c r="E44" s="225"/>
      <c r="F44" s="225"/>
      <c r="G44" s="225"/>
    </row>
    <row r="45" spans="2:7" ht="15.95" customHeight="1">
      <c r="B45" s="285" t="s">
        <v>58</v>
      </c>
      <c r="C45" s="225">
        <v>2154.4312564999523</v>
      </c>
      <c r="D45" s="225">
        <v>2256.4951835444963</v>
      </c>
      <c r="E45" s="225">
        <v>2298.7010968210216</v>
      </c>
      <c r="F45" s="225">
        <v>2350.135082520861</v>
      </c>
      <c r="G45" s="225">
        <v>2411.3924406440133</v>
      </c>
    </row>
    <row r="46" spans="2:7" ht="15.95" customHeight="1">
      <c r="B46" s="285" t="s">
        <v>127</v>
      </c>
      <c r="C46" s="225" t="s">
        <v>224</v>
      </c>
      <c r="D46" s="225" t="s">
        <v>224</v>
      </c>
      <c r="E46" s="225" t="s">
        <v>224</v>
      </c>
      <c r="F46" s="225" t="s">
        <v>224</v>
      </c>
      <c r="G46" s="225" t="s">
        <v>224</v>
      </c>
    </row>
    <row r="47" spans="2:7" ht="15.95" customHeight="1">
      <c r="B47" s="285" t="s">
        <v>128</v>
      </c>
      <c r="C47" s="225" t="s">
        <v>224</v>
      </c>
      <c r="D47" s="225" t="s">
        <v>224</v>
      </c>
      <c r="E47" s="225" t="s">
        <v>224</v>
      </c>
      <c r="F47" s="225" t="s">
        <v>224</v>
      </c>
      <c r="G47" s="225" t="s">
        <v>224</v>
      </c>
    </row>
    <row r="48" spans="2:7" ht="15.95" customHeight="1">
      <c r="B48" s="288" t="s">
        <v>129</v>
      </c>
      <c r="C48" s="225"/>
      <c r="D48" s="225"/>
      <c r="E48" s="225"/>
      <c r="F48" s="225"/>
      <c r="G48" s="225"/>
    </row>
    <row r="49" spans="2:7" ht="15.95" customHeight="1">
      <c r="B49" s="285" t="s">
        <v>59</v>
      </c>
      <c r="C49" s="225">
        <v>2690.3995561741444</v>
      </c>
      <c r="D49" s="225">
        <v>2821.5223404402664</v>
      </c>
      <c r="E49" s="225">
        <v>2872.5981910649903</v>
      </c>
      <c r="F49" s="225">
        <v>2934.2525653165171</v>
      </c>
      <c r="G49" s="225">
        <v>3009.8156124162833</v>
      </c>
    </row>
    <row r="50" spans="2:7" ht="15.95" customHeight="1">
      <c r="B50" s="288" t="s">
        <v>130</v>
      </c>
      <c r="C50" s="225"/>
      <c r="D50" s="225"/>
      <c r="E50" s="225"/>
      <c r="F50" s="225"/>
      <c r="G50" s="225"/>
    </row>
    <row r="51" spans="2:7" ht="15.95" customHeight="1">
      <c r="B51" s="285" t="s">
        <v>72</v>
      </c>
      <c r="C51" s="225">
        <v>2657.8816286452902</v>
      </c>
      <c r="D51" s="225">
        <v>2784.2675012373493</v>
      </c>
      <c r="E51" s="225">
        <v>2837.1799451448355</v>
      </c>
      <c r="F51" s="225">
        <v>2897.7942540733502</v>
      </c>
      <c r="G51" s="225">
        <v>2972.5520168233188</v>
      </c>
    </row>
    <row r="52" spans="2:7" ht="15.95" customHeight="1">
      <c r="B52" s="288" t="s">
        <v>1181</v>
      </c>
      <c r="C52" s="225"/>
      <c r="D52" s="225"/>
      <c r="E52" s="225"/>
      <c r="F52" s="225"/>
      <c r="G52" s="225"/>
    </row>
    <row r="53" spans="2:7" ht="15.95" customHeight="1">
      <c r="B53" s="285" t="s">
        <v>1178</v>
      </c>
      <c r="C53" s="225">
        <v>75.672524475256765</v>
      </c>
      <c r="D53" s="225">
        <v>78.742717868272507</v>
      </c>
      <c r="E53" s="225">
        <v>80.670860183064605</v>
      </c>
      <c r="F53" s="225">
        <v>82.7117235326469</v>
      </c>
      <c r="G53" s="225">
        <v>85.08644770137569</v>
      </c>
    </row>
    <row r="54" spans="2:7" ht="15.95" customHeight="1">
      <c r="B54" s="285" t="s">
        <v>1175</v>
      </c>
      <c r="C54" s="225" t="s">
        <v>224</v>
      </c>
      <c r="D54" s="225" t="s">
        <v>224</v>
      </c>
      <c r="E54" s="225" t="s">
        <v>224</v>
      </c>
      <c r="F54" s="225" t="s">
        <v>224</v>
      </c>
      <c r="G54" s="225" t="s">
        <v>224</v>
      </c>
    </row>
    <row r="55" spans="2:7" ht="15.95" customHeight="1">
      <c r="B55" s="285" t="s">
        <v>1172</v>
      </c>
      <c r="C55" s="225" t="s">
        <v>224</v>
      </c>
      <c r="D55" s="225" t="s">
        <v>224</v>
      </c>
      <c r="E55" s="225" t="s">
        <v>224</v>
      </c>
      <c r="F55" s="225" t="s">
        <v>224</v>
      </c>
      <c r="G55" s="225" t="s">
        <v>224</v>
      </c>
    </row>
    <row r="56" spans="2:7" ht="15.95" customHeight="1">
      <c r="B56" s="288" t="s">
        <v>1180</v>
      </c>
      <c r="C56" s="225"/>
      <c r="D56" s="225"/>
      <c r="E56" s="225"/>
      <c r="F56" s="225"/>
      <c r="G56" s="225"/>
    </row>
    <row r="57" spans="2:7" ht="15.95" customHeight="1">
      <c r="B57" s="285" t="s">
        <v>1177</v>
      </c>
      <c r="C57" s="225">
        <v>1672.1042887817048</v>
      </c>
      <c r="D57" s="225">
        <v>1750.8699366660696</v>
      </c>
      <c r="E57" s="225">
        <v>1784.2458421169663</v>
      </c>
      <c r="F57" s="225">
        <v>1824.327430575491</v>
      </c>
      <c r="G57" s="225">
        <v>1871.9155653777216</v>
      </c>
    </row>
    <row r="58" spans="2:7" ht="15.95" customHeight="1">
      <c r="B58" s="285" t="s">
        <v>1174</v>
      </c>
      <c r="C58" s="225">
        <v>734.98143328345498</v>
      </c>
      <c r="D58" s="225">
        <v>769.62945036612018</v>
      </c>
      <c r="E58" s="225">
        <v>784.18715328305882</v>
      </c>
      <c r="F58" s="225">
        <v>801.67249807558096</v>
      </c>
      <c r="G58" s="225">
        <v>822.49938974619272</v>
      </c>
    </row>
    <row r="59" spans="2:7" ht="15.95" customHeight="1">
      <c r="B59" s="285" t="s">
        <v>1171</v>
      </c>
      <c r="C59" s="225">
        <v>704.43724620160822</v>
      </c>
      <c r="D59" s="225">
        <v>737.24081514996067</v>
      </c>
      <c r="E59" s="225">
        <v>751.81077864152451</v>
      </c>
      <c r="F59" s="225">
        <v>768.79205532832611</v>
      </c>
      <c r="G59" s="225">
        <v>789.16472262384002</v>
      </c>
    </row>
    <row r="60" spans="2:7" ht="15.95" customHeight="1">
      <c r="B60" s="288" t="s">
        <v>131</v>
      </c>
      <c r="C60" s="225"/>
      <c r="D60" s="225"/>
      <c r="E60" s="225"/>
      <c r="F60" s="225"/>
      <c r="G60" s="225"/>
    </row>
    <row r="61" spans="2:7" ht="15.95" customHeight="1">
      <c r="B61" s="285" t="s">
        <v>60</v>
      </c>
      <c r="C61" s="225">
        <v>5225.7566616156391</v>
      </c>
      <c r="D61" s="225">
        <v>5462.2901460829116</v>
      </c>
      <c r="E61" s="225">
        <v>5578.4913870894188</v>
      </c>
      <c r="F61" s="225">
        <v>5700.1625239799096</v>
      </c>
      <c r="G61" s="225">
        <v>5851.7845272968088</v>
      </c>
    </row>
    <row r="62" spans="2:7" ht="15.95" customHeight="1">
      <c r="B62" s="285" t="s">
        <v>132</v>
      </c>
      <c r="C62" s="225">
        <v>2207.2651273990409</v>
      </c>
      <c r="D62" s="225">
        <v>2303.7442059230234</v>
      </c>
      <c r="E62" s="225">
        <v>2355.8251045432667</v>
      </c>
      <c r="F62" s="225">
        <v>2410.1173815618217</v>
      </c>
      <c r="G62" s="225">
        <v>2473.9136603675174</v>
      </c>
    </row>
    <row r="63" spans="2:7" ht="15.95" customHeight="1">
      <c r="B63" s="285" t="s">
        <v>133</v>
      </c>
      <c r="C63" s="225">
        <v>4139.6640379496666</v>
      </c>
      <c r="D63" s="225">
        <v>4332.013012086858</v>
      </c>
      <c r="E63" s="225">
        <v>4423.9956421231254</v>
      </c>
      <c r="F63" s="225">
        <v>4518.5138532850178</v>
      </c>
      <c r="G63" s="225">
        <v>4640.3581517623679</v>
      </c>
    </row>
    <row r="64" spans="2:7" ht="15.95" customHeight="1">
      <c r="B64" s="288" t="s">
        <v>134</v>
      </c>
      <c r="C64" s="225"/>
      <c r="D64" s="225"/>
      <c r="E64" s="225"/>
      <c r="F64" s="225"/>
      <c r="G64" s="225"/>
    </row>
    <row r="65" spans="2:7" ht="15.95" customHeight="1">
      <c r="B65" s="285" t="s">
        <v>61</v>
      </c>
      <c r="C65" s="225">
        <v>9706.9842101711474</v>
      </c>
      <c r="D65" s="225">
        <v>10163.172260691248</v>
      </c>
      <c r="E65" s="225">
        <v>10363.883776218279</v>
      </c>
      <c r="F65" s="225">
        <v>10586.098151985496</v>
      </c>
      <c r="G65" s="225">
        <v>10863.761451129358</v>
      </c>
    </row>
    <row r="66" spans="2:7" ht="15.95" customHeight="1">
      <c r="B66" s="285" t="s">
        <v>135</v>
      </c>
      <c r="C66" s="225">
        <v>4985.9044329710596</v>
      </c>
      <c r="D66" s="225">
        <v>5174.2451345750524</v>
      </c>
      <c r="E66" s="225">
        <v>5320.4664720751944</v>
      </c>
      <c r="F66" s="225">
        <v>5447.5379656112964</v>
      </c>
      <c r="G66" s="225">
        <v>5611.6291053886334</v>
      </c>
    </row>
    <row r="67" spans="2:7" ht="15.95" customHeight="1">
      <c r="B67" s="288" t="s">
        <v>136</v>
      </c>
      <c r="C67" s="225"/>
      <c r="D67" s="225"/>
      <c r="E67" s="225"/>
      <c r="F67" s="225"/>
      <c r="G67" s="225"/>
    </row>
    <row r="68" spans="2:7" ht="15.95" customHeight="1">
      <c r="B68" s="285" t="s">
        <v>73</v>
      </c>
      <c r="C68" s="225">
        <v>47350.366379585743</v>
      </c>
      <c r="D68" s="225">
        <v>49702.070951949259</v>
      </c>
      <c r="E68" s="225">
        <v>50585.834565104393</v>
      </c>
      <c r="F68" s="225">
        <v>51598.985359891914</v>
      </c>
      <c r="G68" s="225">
        <v>52913.458167732235</v>
      </c>
    </row>
    <row r="69" spans="2:7" ht="15.95" customHeight="1">
      <c r="B69" s="285" t="s">
        <v>137</v>
      </c>
      <c r="C69" s="225">
        <v>34194.221981776151</v>
      </c>
      <c r="D69" s="225">
        <v>35740.856346837529</v>
      </c>
      <c r="E69" s="225">
        <v>36526.079703353244</v>
      </c>
      <c r="F69" s="225">
        <v>37294.084941595604</v>
      </c>
      <c r="G69" s="225">
        <v>38277.333784593407</v>
      </c>
    </row>
    <row r="70" spans="2:7" ht="15.95" customHeight="1">
      <c r="B70" s="288" t="s">
        <v>138</v>
      </c>
      <c r="C70" s="225"/>
      <c r="D70" s="225"/>
      <c r="E70" s="225"/>
      <c r="F70" s="225"/>
      <c r="G70" s="225"/>
    </row>
    <row r="71" spans="2:7" ht="15.95" customHeight="1">
      <c r="B71" s="285" t="s">
        <v>93</v>
      </c>
      <c r="C71" s="225">
        <v>406.51163463356664</v>
      </c>
      <c r="D71" s="225">
        <v>423.9960060156555</v>
      </c>
      <c r="E71" s="225">
        <v>432.73819170669998</v>
      </c>
      <c r="F71" s="225">
        <v>442.98294056339262</v>
      </c>
      <c r="G71" s="225">
        <v>455.00344588857882</v>
      </c>
    </row>
    <row r="72" spans="2:7" ht="15.95" customHeight="1">
      <c r="B72" s="285" t="s">
        <v>139</v>
      </c>
      <c r="C72" s="225" t="s">
        <v>224</v>
      </c>
      <c r="D72" s="225" t="s">
        <v>224</v>
      </c>
      <c r="E72" s="225" t="s">
        <v>224</v>
      </c>
      <c r="F72" s="225" t="s">
        <v>224</v>
      </c>
      <c r="G72" s="225" t="s">
        <v>224</v>
      </c>
    </row>
    <row r="73" spans="2:7" ht="15.95" customHeight="1">
      <c r="B73" s="285" t="s">
        <v>140</v>
      </c>
      <c r="C73" s="225" t="s">
        <v>224</v>
      </c>
      <c r="D73" s="225" t="s">
        <v>224</v>
      </c>
      <c r="E73" s="225" t="s">
        <v>224</v>
      </c>
      <c r="F73" s="225" t="s">
        <v>224</v>
      </c>
      <c r="G73" s="225" t="s">
        <v>224</v>
      </c>
    </row>
    <row r="74" spans="2:7" ht="15.95" customHeight="1">
      <c r="B74" s="288" t="s">
        <v>141</v>
      </c>
      <c r="C74" s="225"/>
      <c r="D74" s="225"/>
      <c r="E74" s="225"/>
      <c r="F74" s="225"/>
      <c r="G74" s="225"/>
    </row>
    <row r="75" spans="2:7" ht="15.95" customHeight="1">
      <c r="B75" s="285" t="s">
        <v>94</v>
      </c>
      <c r="C75" s="225">
        <v>374.789970403567</v>
      </c>
      <c r="D75" s="225">
        <v>390.68608025939346</v>
      </c>
      <c r="E75" s="225">
        <v>399.30580180093307</v>
      </c>
      <c r="F75" s="225">
        <v>408.82107882730793</v>
      </c>
      <c r="G75" s="225">
        <v>420.01552238774894</v>
      </c>
    </row>
    <row r="76" spans="2:7" ht="15.95" customHeight="1">
      <c r="B76" s="285" t="s">
        <v>142</v>
      </c>
      <c r="C76" s="225" t="s">
        <v>224</v>
      </c>
      <c r="D76" s="225" t="s">
        <v>224</v>
      </c>
      <c r="E76" s="225" t="s">
        <v>224</v>
      </c>
      <c r="F76" s="225" t="s">
        <v>224</v>
      </c>
      <c r="G76" s="225" t="s">
        <v>224</v>
      </c>
    </row>
    <row r="77" spans="2:7" ht="15.95" customHeight="1">
      <c r="B77" s="285" t="s">
        <v>143</v>
      </c>
      <c r="C77" s="225" t="s">
        <v>224</v>
      </c>
      <c r="D77" s="225" t="s">
        <v>224</v>
      </c>
      <c r="E77" s="225" t="s">
        <v>224</v>
      </c>
      <c r="F77" s="225" t="s">
        <v>224</v>
      </c>
      <c r="G77" s="225" t="s">
        <v>224</v>
      </c>
    </row>
    <row r="78" spans="2:7" ht="15.95" customHeight="1">
      <c r="B78" s="288" t="s">
        <v>144</v>
      </c>
      <c r="C78" s="225"/>
      <c r="D78" s="225"/>
      <c r="E78" s="225"/>
      <c r="F78" s="225"/>
      <c r="G78" s="225"/>
    </row>
    <row r="79" spans="2:7" ht="15.95" customHeight="1">
      <c r="B79" s="285" t="s">
        <v>95</v>
      </c>
      <c r="C79" s="225">
        <v>233.37083374055067</v>
      </c>
      <c r="D79" s="225">
        <v>242.87587361821454</v>
      </c>
      <c r="E79" s="225">
        <v>248.56784517286215</v>
      </c>
      <c r="F79" s="225">
        <v>254.86769718480221</v>
      </c>
      <c r="G79" s="225">
        <v>261.99647709305015</v>
      </c>
    </row>
    <row r="80" spans="2:7" ht="15.95" customHeight="1">
      <c r="B80" s="285" t="s">
        <v>145</v>
      </c>
      <c r="C80" s="225" t="s">
        <v>224</v>
      </c>
      <c r="D80" s="225" t="s">
        <v>224</v>
      </c>
      <c r="E80" s="225" t="s">
        <v>224</v>
      </c>
      <c r="F80" s="225" t="s">
        <v>224</v>
      </c>
      <c r="G80" s="225" t="s">
        <v>224</v>
      </c>
    </row>
    <row r="81" spans="2:7" ht="15.95" customHeight="1">
      <c r="B81" s="285" t="s">
        <v>146</v>
      </c>
      <c r="C81" s="225" t="s">
        <v>224</v>
      </c>
      <c r="D81" s="225" t="s">
        <v>224</v>
      </c>
      <c r="E81" s="225" t="s">
        <v>224</v>
      </c>
      <c r="F81" s="225" t="s">
        <v>224</v>
      </c>
      <c r="G81" s="225" t="s">
        <v>224</v>
      </c>
    </row>
    <row r="82" spans="2:7" ht="15.95" customHeight="1">
      <c r="B82" s="288" t="s">
        <v>147</v>
      </c>
      <c r="C82" s="225"/>
      <c r="D82" s="225"/>
      <c r="E82" s="225"/>
      <c r="F82" s="225"/>
      <c r="G82" s="225"/>
    </row>
    <row r="83" spans="2:7" ht="15.95" customHeight="1">
      <c r="B83" s="285" t="s">
        <v>96</v>
      </c>
      <c r="C83" s="225">
        <v>0</v>
      </c>
      <c r="D83" s="225">
        <v>0</v>
      </c>
      <c r="E83" s="225">
        <v>0</v>
      </c>
      <c r="F83" s="225">
        <v>0</v>
      </c>
      <c r="G83" s="225">
        <v>0</v>
      </c>
    </row>
    <row r="84" spans="2:7" ht="15.95" customHeight="1">
      <c r="B84" s="285" t="s">
        <v>148</v>
      </c>
      <c r="C84" s="225" t="s">
        <v>224</v>
      </c>
      <c r="D84" s="225" t="s">
        <v>224</v>
      </c>
      <c r="E84" s="225" t="s">
        <v>224</v>
      </c>
      <c r="F84" s="225" t="s">
        <v>224</v>
      </c>
      <c r="G84" s="225" t="s">
        <v>224</v>
      </c>
    </row>
    <row r="85" spans="2:7" ht="15.95" customHeight="1">
      <c r="B85" s="285" t="s">
        <v>149</v>
      </c>
      <c r="C85" s="225" t="s">
        <v>224</v>
      </c>
      <c r="D85" s="225" t="s">
        <v>224</v>
      </c>
      <c r="E85" s="225" t="s">
        <v>224</v>
      </c>
      <c r="F85" s="225" t="s">
        <v>224</v>
      </c>
      <c r="G85" s="225" t="s">
        <v>224</v>
      </c>
    </row>
    <row r="86" spans="2:7" ht="15.95" customHeight="1">
      <c r="B86" s="288" t="s">
        <v>150</v>
      </c>
      <c r="C86" s="225"/>
      <c r="D86" s="225"/>
      <c r="E86" s="225"/>
      <c r="F86" s="225"/>
      <c r="G86" s="225"/>
    </row>
    <row r="87" spans="2:7" ht="15.95" customHeight="1">
      <c r="B87" s="285" t="s">
        <v>97</v>
      </c>
      <c r="C87" s="225">
        <v>144627.5697990029</v>
      </c>
      <c r="D87" s="225">
        <v>150679.622034475</v>
      </c>
      <c r="E87" s="225">
        <v>154034.152838754</v>
      </c>
      <c r="F87" s="225">
        <v>157781.3846398748</v>
      </c>
      <c r="G87" s="225">
        <v>162130.9632948988</v>
      </c>
    </row>
    <row r="88" spans="2:7" ht="15.95" customHeight="1">
      <c r="B88" s="285" t="s">
        <v>151</v>
      </c>
      <c r="C88" s="225" t="s">
        <v>224</v>
      </c>
      <c r="D88" s="225" t="s">
        <v>224</v>
      </c>
      <c r="E88" s="225" t="s">
        <v>224</v>
      </c>
      <c r="F88" s="225" t="s">
        <v>224</v>
      </c>
      <c r="G88" s="225" t="s">
        <v>224</v>
      </c>
    </row>
    <row r="89" spans="2:7" ht="15.95" customHeight="1">
      <c r="B89" s="285" t="s">
        <v>152</v>
      </c>
      <c r="C89" s="225">
        <v>479.76937523883089</v>
      </c>
      <c r="D89" s="225">
        <v>499.77411083823398</v>
      </c>
      <c r="E89" s="225">
        <v>511.03626946767861</v>
      </c>
      <c r="F89" s="225">
        <v>523.41788831052293</v>
      </c>
      <c r="G89" s="225">
        <v>537.80749848668154</v>
      </c>
    </row>
    <row r="90" spans="2:7" ht="15.95" customHeight="1">
      <c r="B90" s="288" t="s">
        <v>1179</v>
      </c>
      <c r="C90" s="225"/>
      <c r="D90" s="225"/>
      <c r="E90" s="225"/>
      <c r="F90" s="225"/>
      <c r="G90" s="225"/>
    </row>
    <row r="91" spans="2:7" ht="15.95" customHeight="1">
      <c r="B91" s="285" t="s">
        <v>1176</v>
      </c>
      <c r="C91" s="225">
        <v>-78.233267390769214</v>
      </c>
      <c r="D91" s="225">
        <v>-80.930966266312979</v>
      </c>
      <c r="E91" s="225">
        <v>-83.291452782413771</v>
      </c>
      <c r="F91" s="225">
        <v>-85.876747538143235</v>
      </c>
      <c r="G91" s="225">
        <v>-88.46204229387267</v>
      </c>
    </row>
    <row r="92" spans="2:7" ht="15.95" customHeight="1">
      <c r="B92" s="285" t="s">
        <v>1173</v>
      </c>
      <c r="C92" s="225" t="s">
        <v>224</v>
      </c>
      <c r="D92" s="225" t="s">
        <v>224</v>
      </c>
      <c r="E92" s="225" t="s">
        <v>224</v>
      </c>
      <c r="F92" s="225" t="s">
        <v>224</v>
      </c>
      <c r="G92" s="225" t="s">
        <v>224</v>
      </c>
    </row>
    <row r="93" spans="2:7" ht="15.95" customHeight="1">
      <c r="B93" s="285" t="s">
        <v>1170</v>
      </c>
      <c r="C93" s="225" t="s">
        <v>224</v>
      </c>
      <c r="D93" s="225" t="s">
        <v>224</v>
      </c>
      <c r="E93" s="225" t="s">
        <v>224</v>
      </c>
      <c r="F93" s="225" t="s">
        <v>224</v>
      </c>
      <c r="G93" s="225" t="s">
        <v>224</v>
      </c>
    </row>
    <row r="94" spans="2:7" ht="15.95" customHeight="1">
      <c r="B94" s="288" t="s">
        <v>153</v>
      </c>
      <c r="C94" s="225"/>
      <c r="D94" s="225"/>
      <c r="E94" s="225"/>
      <c r="F94" s="225"/>
      <c r="G94" s="225"/>
    </row>
    <row r="95" spans="2:7" ht="15.95" customHeight="1">
      <c r="B95" s="285" t="s">
        <v>62</v>
      </c>
      <c r="C95" s="225">
        <v>-579.15084977086201</v>
      </c>
      <c r="D95" s="225">
        <v>-599.40731828431024</v>
      </c>
      <c r="E95" s="225">
        <v>-616.90154109137927</v>
      </c>
      <c r="F95" s="225">
        <v>-636.23726103603428</v>
      </c>
      <c r="G95" s="225">
        <v>-655.57298098068952</v>
      </c>
    </row>
    <row r="96" spans="2:7" ht="15.95" customHeight="1">
      <c r="B96" s="285" t="s">
        <v>154</v>
      </c>
      <c r="C96" s="225" t="s">
        <v>224</v>
      </c>
      <c r="D96" s="225" t="s">
        <v>224</v>
      </c>
      <c r="E96" s="225" t="s">
        <v>224</v>
      </c>
      <c r="F96" s="225" t="s">
        <v>224</v>
      </c>
      <c r="G96" s="225" t="s">
        <v>224</v>
      </c>
    </row>
    <row r="97" spans="2:7" ht="15.95" customHeight="1">
      <c r="B97" s="288" t="s">
        <v>155</v>
      </c>
      <c r="C97" s="225"/>
      <c r="D97" s="225"/>
      <c r="E97" s="225"/>
      <c r="F97" s="225"/>
      <c r="G97" s="225"/>
    </row>
    <row r="98" spans="2:7" ht="15.95" customHeight="1">
      <c r="B98" s="285" t="s">
        <v>63</v>
      </c>
      <c r="C98" s="225">
        <v>-605.58235839627275</v>
      </c>
      <c r="D98" s="225">
        <v>-626.47902100839315</v>
      </c>
      <c r="E98" s="225">
        <v>-644.78990437869982</v>
      </c>
      <c r="F98" s="225">
        <v>-664.80125961270335</v>
      </c>
      <c r="G98" s="225">
        <v>-684.81261484670699</v>
      </c>
    </row>
    <row r="99" spans="2:7" ht="15.95" customHeight="1">
      <c r="B99" s="285" t="s">
        <v>156</v>
      </c>
      <c r="C99" s="225" t="s">
        <v>224</v>
      </c>
      <c r="D99" s="225" t="s">
        <v>224</v>
      </c>
      <c r="E99" s="225" t="s">
        <v>224</v>
      </c>
      <c r="F99" s="225" t="s">
        <v>224</v>
      </c>
      <c r="G99" s="225" t="s">
        <v>224</v>
      </c>
    </row>
    <row r="100" spans="2:7" ht="15.95" customHeight="1">
      <c r="B100" s="285" t="s">
        <v>157</v>
      </c>
      <c r="C100" s="225">
        <v>-2463.9608384449239</v>
      </c>
      <c r="D100" s="225">
        <v>-2548.9342735463879</v>
      </c>
      <c r="E100" s="225">
        <v>-2623.3028279787641</v>
      </c>
      <c r="F100" s="225">
        <v>-2704.7263706628924</v>
      </c>
      <c r="G100" s="225">
        <v>-2786.1499133470202</v>
      </c>
    </row>
    <row r="101" spans="2:7" ht="15.95" customHeight="1">
      <c r="B101" s="288" t="s">
        <v>1559</v>
      </c>
      <c r="C101" s="225"/>
      <c r="D101" s="225"/>
      <c r="E101" s="225"/>
      <c r="F101" s="225"/>
      <c r="G101" s="225"/>
    </row>
    <row r="102" spans="2:7" ht="15.95" customHeight="1">
      <c r="B102" s="285" t="s">
        <v>1516</v>
      </c>
      <c r="C102" s="225" t="s">
        <v>224</v>
      </c>
      <c r="D102" s="225" t="s">
        <v>224</v>
      </c>
      <c r="E102" s="225" t="s">
        <v>224</v>
      </c>
      <c r="F102" s="225" t="s">
        <v>224</v>
      </c>
      <c r="G102" s="225" t="s">
        <v>224</v>
      </c>
    </row>
    <row r="103" spans="2:7" ht="15.95" customHeight="1">
      <c r="B103" s="288" t="s">
        <v>158</v>
      </c>
      <c r="C103" s="225"/>
      <c r="D103" s="225"/>
      <c r="E103" s="225"/>
      <c r="F103" s="225"/>
      <c r="G103" s="225"/>
    </row>
    <row r="104" spans="2:7" ht="15.95" customHeight="1">
      <c r="B104" s="285" t="s">
        <v>64</v>
      </c>
      <c r="C104" s="225">
        <v>-992.24971117786674</v>
      </c>
      <c r="D104" s="225">
        <v>-1021.4333807679251</v>
      </c>
      <c r="E104" s="225">
        <v>-1053.0516856984718</v>
      </c>
      <c r="F104" s="225">
        <v>-1084.5598855872365</v>
      </c>
      <c r="G104" s="225">
        <v>-1118.0075821256441</v>
      </c>
    </row>
    <row r="105" spans="2:7" ht="15.95" customHeight="1">
      <c r="B105" s="285" t="s">
        <v>159</v>
      </c>
      <c r="C105" s="225" t="s">
        <v>224</v>
      </c>
      <c r="D105" s="225" t="s">
        <v>224</v>
      </c>
      <c r="E105" s="225" t="s">
        <v>224</v>
      </c>
      <c r="F105" s="225" t="s">
        <v>224</v>
      </c>
      <c r="G105" s="225" t="s">
        <v>224</v>
      </c>
    </row>
    <row r="106" spans="2:7" ht="15.95" customHeight="1">
      <c r="B106" s="285" t="s">
        <v>160</v>
      </c>
      <c r="C106" s="225" t="s">
        <v>224</v>
      </c>
      <c r="D106" s="225" t="s">
        <v>224</v>
      </c>
      <c r="E106" s="225" t="s">
        <v>224</v>
      </c>
      <c r="F106" s="225" t="s">
        <v>224</v>
      </c>
      <c r="G106" s="225" t="s">
        <v>224</v>
      </c>
    </row>
    <row r="107" spans="2:7" ht="15.95" customHeight="1">
      <c r="B107" s="288" t="s">
        <v>1560</v>
      </c>
      <c r="C107" s="225"/>
      <c r="D107" s="225"/>
      <c r="E107" s="225"/>
      <c r="F107" s="225"/>
      <c r="G107" s="225"/>
    </row>
    <row r="108" spans="2:7" ht="15.95" customHeight="1">
      <c r="B108" s="285" t="s">
        <v>1517</v>
      </c>
      <c r="C108" s="225" t="s">
        <v>224</v>
      </c>
      <c r="D108" s="225" t="s">
        <v>224</v>
      </c>
      <c r="E108" s="225" t="s">
        <v>224</v>
      </c>
      <c r="F108" s="225" t="s">
        <v>224</v>
      </c>
      <c r="G108" s="225" t="s">
        <v>224</v>
      </c>
    </row>
    <row r="109" spans="2:7" ht="15.95" customHeight="1">
      <c r="B109" s="288" t="s">
        <v>161</v>
      </c>
      <c r="C109" s="225"/>
      <c r="D109" s="225"/>
      <c r="E109" s="225"/>
      <c r="F109" s="225"/>
      <c r="G109" s="225"/>
    </row>
    <row r="110" spans="2:7" ht="15.95" customHeight="1">
      <c r="B110" s="285" t="s">
        <v>65</v>
      </c>
      <c r="C110" s="225">
        <v>-657.43511628465797</v>
      </c>
      <c r="D110" s="225">
        <v>-680.48429399981819</v>
      </c>
      <c r="E110" s="225">
        <v>-700.31719132078035</v>
      </c>
      <c r="F110" s="225">
        <v>-722.29427557120789</v>
      </c>
      <c r="G110" s="225">
        <v>-744.27135982163543</v>
      </c>
    </row>
    <row r="111" spans="2:7" ht="15.95" customHeight="1">
      <c r="B111" s="285" t="s">
        <v>162</v>
      </c>
      <c r="C111" s="225" t="s">
        <v>224</v>
      </c>
      <c r="D111" s="225" t="s">
        <v>224</v>
      </c>
      <c r="E111" s="225" t="s">
        <v>224</v>
      </c>
      <c r="F111" s="225" t="s">
        <v>224</v>
      </c>
      <c r="G111" s="225" t="s">
        <v>224</v>
      </c>
    </row>
    <row r="112" spans="2:7" ht="15.95" customHeight="1">
      <c r="B112" s="288" t="s">
        <v>1561</v>
      </c>
      <c r="C112" s="225"/>
      <c r="D112" s="225"/>
      <c r="E112" s="225"/>
      <c r="F112" s="225"/>
      <c r="G112" s="225"/>
    </row>
    <row r="113" spans="2:7" ht="15.95" customHeight="1">
      <c r="B113" s="285" t="s">
        <v>1518</v>
      </c>
      <c r="C113" s="225" t="s">
        <v>224</v>
      </c>
      <c r="D113" s="225" t="s">
        <v>224</v>
      </c>
      <c r="E113" s="225" t="s">
        <v>224</v>
      </c>
      <c r="F113" s="225" t="s">
        <v>224</v>
      </c>
      <c r="G113" s="225" t="s">
        <v>224</v>
      </c>
    </row>
    <row r="114" spans="2:7" ht="15.95" customHeight="1">
      <c r="B114" s="288" t="s">
        <v>163</v>
      </c>
      <c r="C114" s="225"/>
      <c r="D114" s="225"/>
      <c r="E114" s="225"/>
      <c r="F114" s="225"/>
      <c r="G114" s="225"/>
    </row>
    <row r="115" spans="2:7" ht="15.95" customHeight="1">
      <c r="B115" s="285" t="s">
        <v>66</v>
      </c>
      <c r="C115" s="225">
        <v>-2093.0234289993737</v>
      </c>
      <c r="D115" s="225">
        <v>-2157.1316716514775</v>
      </c>
      <c r="E115" s="225">
        <v>-2222.6286361556872</v>
      </c>
      <c r="F115" s="225">
        <v>-2289.767130029586</v>
      </c>
      <c r="G115" s="225">
        <v>-2358.6333310885461</v>
      </c>
    </row>
    <row r="116" spans="2:7" ht="15.95" customHeight="1">
      <c r="B116" s="285" t="s">
        <v>164</v>
      </c>
      <c r="C116" s="225" t="s">
        <v>224</v>
      </c>
      <c r="D116" s="225" t="s">
        <v>224</v>
      </c>
      <c r="E116" s="225" t="s">
        <v>224</v>
      </c>
      <c r="F116" s="225" t="s">
        <v>224</v>
      </c>
      <c r="G116" s="225" t="s">
        <v>224</v>
      </c>
    </row>
    <row r="117" spans="2:7" ht="15.95" customHeight="1">
      <c r="B117" s="288" t="s">
        <v>1562</v>
      </c>
      <c r="C117" s="225"/>
      <c r="D117" s="225"/>
      <c r="E117" s="225"/>
      <c r="F117" s="225"/>
      <c r="G117" s="225"/>
    </row>
    <row r="118" spans="2:7" ht="15.95" customHeight="1">
      <c r="B118" s="285" t="s">
        <v>1519</v>
      </c>
      <c r="C118" s="225" t="s">
        <v>224</v>
      </c>
      <c r="D118" s="225" t="s">
        <v>224</v>
      </c>
      <c r="E118" s="225" t="s">
        <v>224</v>
      </c>
      <c r="F118" s="225" t="s">
        <v>224</v>
      </c>
      <c r="G118" s="225" t="s">
        <v>224</v>
      </c>
    </row>
    <row r="119" spans="2:7" ht="15.95" customHeight="1">
      <c r="B119" s="288" t="s">
        <v>165</v>
      </c>
      <c r="C119" s="225"/>
      <c r="D119" s="225"/>
      <c r="E119" s="225"/>
      <c r="F119" s="225"/>
      <c r="G119" s="225"/>
    </row>
    <row r="120" spans="2:7" ht="15.95" customHeight="1">
      <c r="B120" s="285" t="s">
        <v>74</v>
      </c>
      <c r="C120" s="225">
        <v>-6696.2589480486868</v>
      </c>
      <c r="D120" s="225">
        <v>-6948.5856706854438</v>
      </c>
      <c r="E120" s="225">
        <v>-7148.8283740023844</v>
      </c>
      <c r="F120" s="225">
        <v>-7367.3162924384869</v>
      </c>
      <c r="G120" s="225">
        <v>-7601.972025993753</v>
      </c>
    </row>
    <row r="121" spans="2:7" ht="15.95" customHeight="1">
      <c r="B121" s="285" t="s">
        <v>166</v>
      </c>
      <c r="C121" s="225">
        <v>-58.782255901272748</v>
      </c>
      <c r="D121" s="225">
        <v>-60.986590497570461</v>
      </c>
      <c r="E121" s="225">
        <v>-62.750058174608654</v>
      </c>
      <c r="F121" s="225">
        <v>-64.660481491400006</v>
      </c>
      <c r="G121" s="225">
        <v>-66.71786044794456</v>
      </c>
    </row>
    <row r="122" spans="2:7" ht="15.95" customHeight="1">
      <c r="B122" s="288" t="s">
        <v>1563</v>
      </c>
      <c r="C122" s="225"/>
      <c r="D122" s="225"/>
      <c r="E122" s="225"/>
      <c r="F122" s="225"/>
      <c r="G122" s="225"/>
    </row>
    <row r="123" spans="2:7" ht="15.95" customHeight="1">
      <c r="B123" s="285" t="s">
        <v>1520</v>
      </c>
      <c r="C123" s="225" t="s">
        <v>224</v>
      </c>
      <c r="D123" s="225" t="s">
        <v>224</v>
      </c>
      <c r="E123" s="225" t="s">
        <v>224</v>
      </c>
      <c r="F123" s="225" t="s">
        <v>224</v>
      </c>
      <c r="G123" s="225" t="s">
        <v>224</v>
      </c>
    </row>
    <row r="124" spans="2:7" ht="15.95" customHeight="1">
      <c r="B124" s="288" t="s">
        <v>167</v>
      </c>
      <c r="C124" s="225"/>
      <c r="D124" s="225"/>
      <c r="E124" s="225"/>
      <c r="F124" s="225"/>
      <c r="G124" s="225"/>
    </row>
    <row r="125" spans="2:7" ht="15.95" customHeight="1">
      <c r="B125" s="285" t="s">
        <v>75</v>
      </c>
      <c r="C125" s="225">
        <v>-16411.782817836513</v>
      </c>
      <c r="D125" s="225">
        <v>-16953.004399769543</v>
      </c>
      <c r="E125" s="225">
        <v>-17463.043242517513</v>
      </c>
      <c r="F125" s="225">
        <v>-18000.640095657815</v>
      </c>
      <c r="G125" s="225">
        <v>-18549.969501028729</v>
      </c>
    </row>
    <row r="126" spans="2:7" ht="15.95" customHeight="1">
      <c r="B126" s="285" t="s">
        <v>168</v>
      </c>
      <c r="C126" s="225">
        <v>-4.0445846961437981</v>
      </c>
      <c r="D126" s="225">
        <v>-4.1755751983761815</v>
      </c>
      <c r="E126" s="225">
        <v>-4.2930006680940007</v>
      </c>
      <c r="F126" s="225">
        <v>-4.4340839326027943</v>
      </c>
      <c r="G126" s="225">
        <v>-4.5633551205240792</v>
      </c>
    </row>
    <row r="127" spans="2:7" ht="15.95" customHeight="1">
      <c r="B127" s="288" t="s">
        <v>1564</v>
      </c>
      <c r="C127" s="225"/>
      <c r="D127" s="225"/>
      <c r="E127" s="225"/>
      <c r="F127" s="225"/>
      <c r="G127" s="225"/>
    </row>
    <row r="128" spans="2:7" ht="15.95" customHeight="1">
      <c r="B128" s="285" t="s">
        <v>1521</v>
      </c>
      <c r="C128" s="225" t="s">
        <v>224</v>
      </c>
      <c r="D128" s="225" t="s">
        <v>224</v>
      </c>
      <c r="E128" s="225" t="s">
        <v>224</v>
      </c>
      <c r="F128" s="225" t="s">
        <v>224</v>
      </c>
      <c r="G128" s="225" t="s">
        <v>224</v>
      </c>
    </row>
  </sheetData>
  <mergeCells count="1">
    <mergeCell ref="B3:F5"/>
  </mergeCells>
  <pageMargins left="0.74803149606299213" right="0.74803149606299213" top="0.98425196850393704" bottom="0.98425196850393704" header="0.51181102362204722" footer="0.51181102362204722"/>
  <pageSetup paperSize="9" scale="41" fitToHeight="2" orientation="portrait" r:id="rId1"/>
  <headerFooter alignWithMargins="0"/>
  <rowBreaks count="1" manualBreakCount="1">
    <brk id="69" min="1" max="6"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310"/>
  <sheetViews>
    <sheetView showFormulas="1" showGridLines="0" topLeftCell="A179" workbookViewId="0">
      <selection activeCell="A202" sqref="A202"/>
    </sheetView>
  </sheetViews>
  <sheetFormatPr defaultColWidth="8.85546875" defaultRowHeight="12.75"/>
  <cols>
    <col min="1" max="1" width="50.7109375" style="26" customWidth="1"/>
    <col min="2" max="251" width="20.7109375" style="26" customWidth="1"/>
    <col min="252" max="16384" width="8.85546875" style="26"/>
  </cols>
  <sheetData>
    <row r="1" spans="1:7" ht="15.75">
      <c r="A1" s="250" t="s">
        <v>1168</v>
      </c>
    </row>
    <row r="4" spans="1:7" ht="15.75">
      <c r="A4" s="142" t="s">
        <v>0</v>
      </c>
    </row>
    <row r="5" spans="1:7" ht="14.25">
      <c r="A5" s="205" t="s">
        <v>224</v>
      </c>
    </row>
    <row r="6" spans="1:7">
      <c r="B6" s="204" t="s">
        <v>1</v>
      </c>
      <c r="C6" s="204" t="s">
        <v>2</v>
      </c>
      <c r="D6" s="204" t="s">
        <v>3</v>
      </c>
    </row>
    <row r="7" spans="1:7" ht="14.25">
      <c r="A7" s="164" t="s">
        <v>4</v>
      </c>
      <c r="B7" s="249">
        <v>2</v>
      </c>
      <c r="C7" s="249">
        <v>3</v>
      </c>
      <c r="D7" s="249">
        <v>4</v>
      </c>
      <c r="E7" s="203" t="s">
        <v>224</v>
      </c>
    </row>
    <row r="9" spans="1:7" ht="15.75">
      <c r="A9" s="142" t="s">
        <v>7</v>
      </c>
    </row>
    <row r="10" spans="1:7" ht="14.25">
      <c r="A10" s="168"/>
    </row>
    <row r="11" spans="1:7">
      <c r="A11" s="26" t="s">
        <v>8</v>
      </c>
    </row>
    <row r="12" spans="1:7">
      <c r="A12" s="26" t="s">
        <v>9</v>
      </c>
    </row>
    <row r="13" spans="1:7" ht="38.25">
      <c r="B13" s="204" t="s">
        <v>10</v>
      </c>
      <c r="C13" s="204" t="s">
        <v>11</v>
      </c>
      <c r="D13" s="204" t="s">
        <v>12</v>
      </c>
      <c r="E13" s="204" t="s">
        <v>13</v>
      </c>
      <c r="F13" s="204" t="s">
        <v>1050</v>
      </c>
    </row>
    <row r="14" spans="1:7" ht="14.25">
      <c r="A14" s="164" t="s">
        <v>14</v>
      </c>
      <c r="B14" s="249">
        <v>6</v>
      </c>
      <c r="C14" s="249">
        <v>7</v>
      </c>
      <c r="D14" s="249"/>
      <c r="E14" s="249">
        <v>8</v>
      </c>
      <c r="F14" s="249">
        <v>9</v>
      </c>
      <c r="G14" s="203" t="s">
        <v>224</v>
      </c>
    </row>
    <row r="16" spans="1:7" ht="15.75">
      <c r="A16" s="142" t="s">
        <v>15</v>
      </c>
    </row>
    <row r="17" spans="1:3" ht="14.25">
      <c r="A17" s="168"/>
    </row>
    <row r="18" spans="1:3">
      <c r="A18" s="26" t="s">
        <v>16</v>
      </c>
    </row>
    <row r="19" spans="1:3">
      <c r="A19" s="26" t="s">
        <v>17</v>
      </c>
    </row>
    <row r="20" spans="1:3">
      <c r="A20" s="26" t="s">
        <v>18</v>
      </c>
    </row>
    <row r="21" spans="1:3">
      <c r="A21" s="26" t="s">
        <v>19</v>
      </c>
    </row>
    <row r="22" spans="1:3">
      <c r="A22" s="26" t="s">
        <v>20</v>
      </c>
    </row>
    <row r="23" spans="1:3" ht="51">
      <c r="B23" s="204" t="s">
        <v>21</v>
      </c>
    </row>
    <row r="24" spans="1:3" ht="14.25">
      <c r="A24" s="164" t="s">
        <v>22</v>
      </c>
      <c r="B24" s="249">
        <v>11</v>
      </c>
      <c r="C24" s="203" t="s">
        <v>224</v>
      </c>
    </row>
    <row r="25" spans="1:3" ht="14.25">
      <c r="A25" s="164" t="s">
        <v>23</v>
      </c>
      <c r="B25" s="249">
        <v>12</v>
      </c>
      <c r="C25" s="203" t="s">
        <v>224</v>
      </c>
    </row>
    <row r="26" spans="1:3" ht="14.25">
      <c r="A26" s="164" t="s">
        <v>24</v>
      </c>
      <c r="B26" s="249"/>
      <c r="C26" s="203" t="s">
        <v>224</v>
      </c>
    </row>
    <row r="27" spans="1:3" ht="14.25">
      <c r="A27" s="164" t="s">
        <v>25</v>
      </c>
      <c r="B27" s="249">
        <v>13</v>
      </c>
      <c r="C27" s="203" t="s">
        <v>224</v>
      </c>
    </row>
    <row r="28" spans="1:3" ht="14.25">
      <c r="A28" s="164" t="s">
        <v>26</v>
      </c>
      <c r="B28" s="249"/>
      <c r="C28" s="203" t="s">
        <v>224</v>
      </c>
    </row>
    <row r="29" spans="1:3" ht="14.25">
      <c r="A29" s="164" t="s">
        <v>27</v>
      </c>
      <c r="B29" s="249">
        <v>14</v>
      </c>
      <c r="C29" s="203" t="s">
        <v>224</v>
      </c>
    </row>
    <row r="30" spans="1:3" ht="14.25">
      <c r="A30" s="164" t="s">
        <v>28</v>
      </c>
      <c r="B30" s="249"/>
      <c r="C30" s="203" t="s">
        <v>224</v>
      </c>
    </row>
    <row r="31" spans="1:3" ht="14.25">
      <c r="A31" s="164" t="s">
        <v>29</v>
      </c>
      <c r="B31" s="249"/>
      <c r="C31" s="203" t="s">
        <v>224</v>
      </c>
    </row>
    <row r="33" spans="1:3" ht="15.75">
      <c r="A33" s="142" t="s">
        <v>30</v>
      </c>
    </row>
    <row r="34" spans="1:3" ht="14.25">
      <c r="A34" s="205" t="s">
        <v>224</v>
      </c>
    </row>
    <row r="35" spans="1:3">
      <c r="B35" s="204" t="s">
        <v>31</v>
      </c>
    </row>
    <row r="36" spans="1:3" ht="14.25">
      <c r="A36" s="164" t="s">
        <v>26</v>
      </c>
      <c r="B36" s="249">
        <v>15</v>
      </c>
      <c r="C36" s="203" t="s">
        <v>224</v>
      </c>
    </row>
    <row r="38" spans="1:3" ht="15.75">
      <c r="A38" s="142" t="s">
        <v>32</v>
      </c>
    </row>
    <row r="39" spans="1:3" ht="14.25">
      <c r="A39" s="168"/>
    </row>
    <row r="40" spans="1:3" ht="25.5">
      <c r="B40" s="204" t="s">
        <v>33</v>
      </c>
    </row>
    <row r="41" spans="1:3" ht="14.25">
      <c r="A41" s="164" t="s">
        <v>33</v>
      </c>
      <c r="B41" s="249">
        <v>16</v>
      </c>
      <c r="C41" s="203" t="s">
        <v>224</v>
      </c>
    </row>
    <row r="43" spans="1:3" ht="15.75">
      <c r="A43" s="142" t="s">
        <v>34</v>
      </c>
    </row>
    <row r="44" spans="1:3" ht="14.25">
      <c r="A44" s="168"/>
    </row>
    <row r="45" spans="1:3">
      <c r="B45" s="204" t="s">
        <v>35</v>
      </c>
    </row>
    <row r="46" spans="1:3" ht="14.25">
      <c r="A46" s="164" t="s">
        <v>23</v>
      </c>
      <c r="B46" s="249">
        <v>18</v>
      </c>
      <c r="C46" s="203" t="s">
        <v>224</v>
      </c>
    </row>
    <row r="47" spans="1:3" ht="14.25">
      <c r="A47" s="164" t="s">
        <v>24</v>
      </c>
      <c r="B47" s="249">
        <v>19</v>
      </c>
      <c r="C47" s="203" t="s">
        <v>224</v>
      </c>
    </row>
    <row r="48" spans="1:3" ht="14.25">
      <c r="A48" s="164" t="s">
        <v>25</v>
      </c>
      <c r="B48" s="249">
        <v>20</v>
      </c>
      <c r="C48" s="203" t="s">
        <v>224</v>
      </c>
    </row>
    <row r="49" spans="1:10" ht="14.25">
      <c r="A49" s="164" t="s">
        <v>26</v>
      </c>
      <c r="B49" s="249">
        <v>21</v>
      </c>
      <c r="C49" s="203" t="s">
        <v>224</v>
      </c>
    </row>
    <row r="50" spans="1:10" ht="14.25">
      <c r="A50" s="164" t="s">
        <v>31</v>
      </c>
      <c r="B50" s="249">
        <v>22</v>
      </c>
      <c r="C50" s="203" t="s">
        <v>224</v>
      </c>
    </row>
    <row r="51" spans="1:10" ht="14.25">
      <c r="A51" s="164" t="s">
        <v>27</v>
      </c>
      <c r="B51" s="249">
        <v>23</v>
      </c>
      <c r="C51" s="203" t="s">
        <v>224</v>
      </c>
    </row>
    <row r="52" spans="1:10" ht="14.25">
      <c r="A52" s="164" t="s">
        <v>28</v>
      </c>
      <c r="B52" s="249">
        <v>24</v>
      </c>
      <c r="C52" s="203" t="s">
        <v>224</v>
      </c>
    </row>
    <row r="53" spans="1:10" ht="14.25">
      <c r="A53" s="164" t="s">
        <v>29</v>
      </c>
      <c r="B53" s="249">
        <v>25</v>
      </c>
      <c r="C53" s="203" t="s">
        <v>224</v>
      </c>
    </row>
    <row r="55" spans="1:10" ht="15.75">
      <c r="A55" s="142" t="s">
        <v>36</v>
      </c>
    </row>
    <row r="56" spans="1:10" ht="14.25">
      <c r="A56" s="168"/>
    </row>
    <row r="57" spans="1:10">
      <c r="B57" s="204" t="s">
        <v>37</v>
      </c>
      <c r="C57" s="204" t="s">
        <v>38</v>
      </c>
      <c r="D57" s="204" t="s">
        <v>39</v>
      </c>
      <c r="E57" s="204" t="s">
        <v>40</v>
      </c>
      <c r="F57" s="204" t="s">
        <v>41</v>
      </c>
      <c r="G57" s="204" t="s">
        <v>42</v>
      </c>
      <c r="H57" s="204" t="s">
        <v>43</v>
      </c>
      <c r="I57" s="204" t="s">
        <v>44</v>
      </c>
    </row>
    <row r="58" spans="1:10" ht="14.25">
      <c r="A58" s="164" t="s">
        <v>45</v>
      </c>
      <c r="B58" s="249">
        <v>27</v>
      </c>
      <c r="C58" s="249">
        <v>28</v>
      </c>
      <c r="D58" s="249">
        <v>29</v>
      </c>
      <c r="E58" s="249">
        <v>30</v>
      </c>
      <c r="F58" s="249">
        <v>31</v>
      </c>
      <c r="G58" s="249">
        <v>32</v>
      </c>
      <c r="H58" s="249">
        <v>33</v>
      </c>
      <c r="I58" s="249">
        <v>34</v>
      </c>
      <c r="J58" s="203" t="s">
        <v>224</v>
      </c>
    </row>
    <row r="60" spans="1:10" ht="15.75">
      <c r="A60" s="142" t="s">
        <v>46</v>
      </c>
    </row>
    <row r="61" spans="1:10" ht="14.25">
      <c r="A61" s="168"/>
    </row>
    <row r="62" spans="1:10">
      <c r="B62" s="204" t="s">
        <v>47</v>
      </c>
      <c r="C62" s="204" t="s">
        <v>48</v>
      </c>
      <c r="D62" s="204" t="s">
        <v>49</v>
      </c>
      <c r="E62" s="204" t="s">
        <v>50</v>
      </c>
      <c r="F62" s="204" t="s">
        <v>51</v>
      </c>
    </row>
    <row r="63" spans="1:10" ht="14.25">
      <c r="A63" s="164" t="s">
        <v>52</v>
      </c>
      <c r="B63" s="249">
        <v>36</v>
      </c>
      <c r="C63" s="249">
        <v>37</v>
      </c>
      <c r="D63" s="249">
        <v>38</v>
      </c>
      <c r="E63" s="249">
        <v>39</v>
      </c>
      <c r="F63" s="249">
        <v>40</v>
      </c>
      <c r="G63" s="203" t="s">
        <v>224</v>
      </c>
    </row>
    <row r="65" spans="1:9" ht="15.75">
      <c r="A65" s="142" t="s">
        <v>76</v>
      </c>
    </row>
    <row r="66" spans="1:9" ht="14.25">
      <c r="A66" s="205" t="s">
        <v>224</v>
      </c>
    </row>
    <row r="67" spans="1:9">
      <c r="A67" s="26" t="s">
        <v>77</v>
      </c>
    </row>
    <row r="68" spans="1:9">
      <c r="B68" s="204" t="s">
        <v>23</v>
      </c>
      <c r="C68" s="204" t="s">
        <v>24</v>
      </c>
      <c r="D68" s="204" t="s">
        <v>25</v>
      </c>
      <c r="E68" s="204" t="s">
        <v>26</v>
      </c>
      <c r="F68" s="204" t="s">
        <v>27</v>
      </c>
      <c r="G68" s="204" t="s">
        <v>28</v>
      </c>
      <c r="H68" s="204" t="s">
        <v>29</v>
      </c>
    </row>
    <row r="69" spans="1:9" ht="14.25">
      <c r="A69" s="164" t="s">
        <v>78</v>
      </c>
      <c r="B69" s="249">
        <v>45</v>
      </c>
      <c r="C69" s="249">
        <v>46</v>
      </c>
      <c r="D69" s="249">
        <v>47</v>
      </c>
      <c r="E69" s="249">
        <v>48</v>
      </c>
      <c r="F69" s="249">
        <v>49</v>
      </c>
      <c r="G69" s="249">
        <v>50</v>
      </c>
      <c r="H69" s="249">
        <v>51</v>
      </c>
      <c r="I69" s="203" t="s">
        <v>224</v>
      </c>
    </row>
    <row r="71" spans="1:9" ht="15.75">
      <c r="A71" s="142" t="s">
        <v>79</v>
      </c>
    </row>
    <row r="72" spans="1:9" ht="14.25">
      <c r="A72" s="205" t="s">
        <v>224</v>
      </c>
    </row>
    <row r="73" spans="1:9">
      <c r="A73" s="26" t="s">
        <v>80</v>
      </c>
    </row>
    <row r="74" spans="1:9" ht="25.5">
      <c r="B74" s="204" t="s">
        <v>81</v>
      </c>
      <c r="C74" s="204" t="s">
        <v>82</v>
      </c>
      <c r="D74" s="204" t="s">
        <v>83</v>
      </c>
      <c r="E74" s="204" t="s">
        <v>84</v>
      </c>
      <c r="F74" s="204" t="s">
        <v>85</v>
      </c>
    </row>
    <row r="75" spans="1:9" ht="14.25">
      <c r="A75" s="164" t="s">
        <v>86</v>
      </c>
      <c r="B75" s="249"/>
      <c r="C75" s="249">
        <v>53</v>
      </c>
      <c r="D75" s="249">
        <v>54</v>
      </c>
      <c r="E75" s="249">
        <v>55</v>
      </c>
      <c r="F75" s="249">
        <v>56</v>
      </c>
      <c r="G75" s="203" t="s">
        <v>224</v>
      </c>
    </row>
    <row r="77" spans="1:9" ht="15.75">
      <c r="A77" s="142" t="s">
        <v>87</v>
      </c>
    </row>
    <row r="78" spans="1:9" ht="14.25">
      <c r="A78" s="168"/>
    </row>
    <row r="79" spans="1:9">
      <c r="A79" s="26" t="s">
        <v>88</v>
      </c>
    </row>
    <row r="80" spans="1:9">
      <c r="B80" s="204" t="s">
        <v>89</v>
      </c>
      <c r="C80" s="204" t="s">
        <v>90</v>
      </c>
    </row>
    <row r="81" spans="1:4" ht="15">
      <c r="A81" s="8" t="s">
        <v>54</v>
      </c>
      <c r="B81" s="249">
        <f>'CDCM Forecast Data'!A71</f>
        <v>58</v>
      </c>
      <c r="C81" s="249">
        <f>'CDCM Forecast Data'!A91</f>
        <v>78</v>
      </c>
      <c r="D81" s="203" t="s">
        <v>224</v>
      </c>
    </row>
    <row r="82" spans="1:4" ht="15">
      <c r="A82" s="8" t="s">
        <v>55</v>
      </c>
      <c r="B82" s="249">
        <f>'CDCM Forecast Data'!A72</f>
        <v>59</v>
      </c>
      <c r="C82" s="249">
        <f>'CDCM Forecast Data'!A92</f>
        <v>79</v>
      </c>
      <c r="D82" s="203" t="s">
        <v>224</v>
      </c>
    </row>
    <row r="83" spans="1:4" ht="15">
      <c r="A83" s="8" t="s">
        <v>91</v>
      </c>
      <c r="B83" s="249">
        <f>'CDCM Forecast Data'!A73</f>
        <v>60</v>
      </c>
      <c r="C83" s="249">
        <f>'CDCM Forecast Data'!A93</f>
        <v>80</v>
      </c>
      <c r="D83" s="203" t="s">
        <v>224</v>
      </c>
    </row>
    <row r="84" spans="1:4" ht="15">
      <c r="A84" s="8" t="s">
        <v>56</v>
      </c>
      <c r="B84" s="249">
        <f>'CDCM Forecast Data'!A74</f>
        <v>61</v>
      </c>
      <c r="C84" s="249">
        <f>'CDCM Forecast Data'!A94</f>
        <v>81</v>
      </c>
      <c r="D84" s="203" t="s">
        <v>224</v>
      </c>
    </row>
    <row r="85" spans="1:4" ht="15">
      <c r="A85" s="8" t="s">
        <v>57</v>
      </c>
      <c r="B85" s="249">
        <f>'CDCM Forecast Data'!A75</f>
        <v>62</v>
      </c>
      <c r="C85" s="249">
        <f>'CDCM Forecast Data'!A95</f>
        <v>82</v>
      </c>
      <c r="D85" s="203" t="s">
        <v>224</v>
      </c>
    </row>
    <row r="86" spans="1:4" ht="15">
      <c r="A86" s="8" t="s">
        <v>92</v>
      </c>
      <c r="B86" s="249">
        <f>'CDCM Forecast Data'!A76</f>
        <v>63</v>
      </c>
      <c r="C86" s="249">
        <f>'CDCM Forecast Data'!A96</f>
        <v>83</v>
      </c>
      <c r="D86" s="203" t="s">
        <v>224</v>
      </c>
    </row>
    <row r="87" spans="1:4" ht="15">
      <c r="A87" s="8" t="s">
        <v>58</v>
      </c>
      <c r="B87" s="249">
        <f>'CDCM Forecast Data'!A77</f>
        <v>64</v>
      </c>
      <c r="C87" s="249">
        <f>'CDCM Forecast Data'!A97</f>
        <v>84</v>
      </c>
      <c r="D87" s="203" t="s">
        <v>224</v>
      </c>
    </row>
    <row r="88" spans="1:4" ht="15">
      <c r="A88" s="8" t="s">
        <v>59</v>
      </c>
      <c r="B88" s="249">
        <f>'CDCM Forecast Data'!A78</f>
        <v>65</v>
      </c>
      <c r="C88" s="249">
        <f>'CDCM Forecast Data'!A98</f>
        <v>85</v>
      </c>
      <c r="D88" s="203" t="s">
        <v>224</v>
      </c>
    </row>
    <row r="89" spans="1:4" ht="15">
      <c r="A89" s="8" t="s">
        <v>72</v>
      </c>
      <c r="B89" s="249">
        <f>'CDCM Forecast Data'!A79</f>
        <v>66</v>
      </c>
      <c r="C89" s="249">
        <f>'CDCM Forecast Data'!A99</f>
        <v>86</v>
      </c>
      <c r="D89" s="203" t="s">
        <v>224</v>
      </c>
    </row>
    <row r="90" spans="1:4" ht="15">
      <c r="A90" s="8" t="s">
        <v>1178</v>
      </c>
      <c r="B90" s="249">
        <f>'CDCM Forecast Data'!A80</f>
        <v>67</v>
      </c>
      <c r="C90" s="249">
        <f>'CDCM Forecast Data'!A100</f>
        <v>87</v>
      </c>
      <c r="D90" s="203"/>
    </row>
    <row r="91" spans="1:4" ht="15">
      <c r="A91" s="8" t="s">
        <v>1177</v>
      </c>
      <c r="B91" s="249">
        <f>'CDCM Forecast Data'!A81</f>
        <v>68</v>
      </c>
      <c r="C91" s="249">
        <f>'CDCM Forecast Data'!A101</f>
        <v>88</v>
      </c>
      <c r="D91" s="203" t="s">
        <v>224</v>
      </c>
    </row>
    <row r="92" spans="1:4" ht="15">
      <c r="A92" s="8" t="s">
        <v>60</v>
      </c>
      <c r="B92" s="249">
        <f>'CDCM Forecast Data'!A82</f>
        <v>69</v>
      </c>
      <c r="C92" s="249">
        <f>'CDCM Forecast Data'!A102</f>
        <v>89</v>
      </c>
      <c r="D92" s="203" t="s">
        <v>224</v>
      </c>
    </row>
    <row r="93" spans="1:4" ht="15">
      <c r="A93" s="8" t="s">
        <v>61</v>
      </c>
      <c r="B93" s="249">
        <f>'CDCM Forecast Data'!A83</f>
        <v>70</v>
      </c>
      <c r="C93" s="249">
        <f>'CDCM Forecast Data'!A103</f>
        <v>90</v>
      </c>
      <c r="D93" s="203" t="s">
        <v>224</v>
      </c>
    </row>
    <row r="94" spans="1:4" ht="15">
      <c r="A94" s="8" t="s">
        <v>73</v>
      </c>
      <c r="B94" s="249">
        <f>'CDCM Forecast Data'!A84</f>
        <v>71</v>
      </c>
      <c r="C94" s="249">
        <f>'CDCM Forecast Data'!A104</f>
        <v>91</v>
      </c>
      <c r="D94" s="203" t="s">
        <v>224</v>
      </c>
    </row>
    <row r="95" spans="1:4" ht="15">
      <c r="A95" s="8" t="s">
        <v>93</v>
      </c>
      <c r="B95" s="249">
        <f>'CDCM Forecast Data'!A85</f>
        <v>72</v>
      </c>
      <c r="C95" s="249">
        <f>'CDCM Forecast Data'!A105</f>
        <v>92</v>
      </c>
      <c r="D95" s="203" t="s">
        <v>224</v>
      </c>
    </row>
    <row r="96" spans="1:4" ht="15">
      <c r="A96" s="8" t="s">
        <v>94</v>
      </c>
      <c r="B96" s="249">
        <f>'CDCM Forecast Data'!A86</f>
        <v>73</v>
      </c>
      <c r="C96" s="249">
        <f>'CDCM Forecast Data'!A106</f>
        <v>93</v>
      </c>
      <c r="D96" s="203" t="s">
        <v>224</v>
      </c>
    </row>
    <row r="97" spans="1:4" ht="15">
      <c r="A97" s="8" t="s">
        <v>95</v>
      </c>
      <c r="B97" s="249">
        <f>'CDCM Forecast Data'!A87</f>
        <v>74</v>
      </c>
      <c r="C97" s="249">
        <f>'CDCM Forecast Data'!A107</f>
        <v>94</v>
      </c>
      <c r="D97" s="203" t="s">
        <v>224</v>
      </c>
    </row>
    <row r="98" spans="1:4" ht="15">
      <c r="A98" s="8" t="s">
        <v>96</v>
      </c>
      <c r="B98" s="249">
        <f>'CDCM Forecast Data'!A88</f>
        <v>75</v>
      </c>
      <c r="C98" s="249">
        <f>'CDCM Forecast Data'!A108</f>
        <v>95</v>
      </c>
      <c r="D98" s="203" t="s">
        <v>224</v>
      </c>
    </row>
    <row r="99" spans="1:4" ht="15">
      <c r="A99" s="8" t="s">
        <v>97</v>
      </c>
      <c r="B99" s="249">
        <f>'CDCM Forecast Data'!A89</f>
        <v>76</v>
      </c>
      <c r="C99" s="249">
        <f>'CDCM Forecast Data'!A109</f>
        <v>96</v>
      </c>
      <c r="D99" s="203" t="s">
        <v>224</v>
      </c>
    </row>
    <row r="101" spans="1:4" ht="15.75">
      <c r="A101" s="142" t="s">
        <v>98</v>
      </c>
    </row>
    <row r="102" spans="1:4" ht="14.25">
      <c r="A102" s="205" t="s">
        <v>224</v>
      </c>
    </row>
    <row r="103" spans="1:4">
      <c r="A103" s="26" t="s">
        <v>99</v>
      </c>
    </row>
    <row r="104" spans="1:4">
      <c r="A104" s="26" t="s">
        <v>100</v>
      </c>
    </row>
    <row r="105" spans="1:4">
      <c r="A105" s="26" t="s">
        <v>101</v>
      </c>
    </row>
    <row r="106" spans="1:4">
      <c r="B106" s="204" t="s">
        <v>102</v>
      </c>
    </row>
    <row r="107" spans="1:4" ht="15">
      <c r="A107" s="12" t="s">
        <v>108</v>
      </c>
      <c r="B107" s="249">
        <v>1</v>
      </c>
    </row>
    <row r="108" spans="1:4" ht="15">
      <c r="A108" s="8" t="s">
        <v>54</v>
      </c>
      <c r="B108" s="249">
        <f>B107+1</f>
        <v>2</v>
      </c>
    </row>
    <row r="109" spans="1:4" ht="15">
      <c r="A109" s="8" t="s">
        <v>109</v>
      </c>
      <c r="B109" s="249">
        <f t="shared" ref="B109:B172" si="0">B108+1</f>
        <v>3</v>
      </c>
    </row>
    <row r="110" spans="1:4" ht="15">
      <c r="A110" s="8" t="s">
        <v>110</v>
      </c>
      <c r="B110" s="249">
        <f t="shared" si="0"/>
        <v>4</v>
      </c>
    </row>
    <row r="111" spans="1:4" ht="15">
      <c r="A111" s="12" t="s">
        <v>111</v>
      </c>
      <c r="B111" s="249">
        <f t="shared" si="0"/>
        <v>5</v>
      </c>
    </row>
    <row r="112" spans="1:4" ht="15">
      <c r="A112" s="8" t="s">
        <v>55</v>
      </c>
      <c r="B112" s="249">
        <f t="shared" si="0"/>
        <v>6</v>
      </c>
    </row>
    <row r="113" spans="1:2" ht="15">
      <c r="A113" s="8" t="s">
        <v>112</v>
      </c>
      <c r="B113" s="249">
        <f t="shared" si="0"/>
        <v>7</v>
      </c>
    </row>
    <row r="114" spans="1:2" ht="15">
      <c r="A114" s="8" t="s">
        <v>113</v>
      </c>
      <c r="B114" s="249">
        <f t="shared" si="0"/>
        <v>8</v>
      </c>
    </row>
    <row r="115" spans="1:2" ht="15">
      <c r="A115" s="12" t="s">
        <v>114</v>
      </c>
      <c r="B115" s="249">
        <f t="shared" si="0"/>
        <v>9</v>
      </c>
    </row>
    <row r="116" spans="1:2" ht="15">
      <c r="A116" s="8" t="s">
        <v>91</v>
      </c>
      <c r="B116" s="249">
        <f t="shared" si="0"/>
        <v>10</v>
      </c>
    </row>
    <row r="117" spans="1:2" ht="15">
      <c r="A117" s="8" t="s">
        <v>115</v>
      </c>
      <c r="B117" s="249">
        <f t="shared" si="0"/>
        <v>11</v>
      </c>
    </row>
    <row r="118" spans="1:2" ht="15">
      <c r="A118" s="8" t="s">
        <v>116</v>
      </c>
      <c r="B118" s="249">
        <f t="shared" si="0"/>
        <v>12</v>
      </c>
    </row>
    <row r="119" spans="1:2" ht="15">
      <c r="A119" s="12" t="s">
        <v>117</v>
      </c>
      <c r="B119" s="249">
        <f t="shared" si="0"/>
        <v>13</v>
      </c>
    </row>
    <row r="120" spans="1:2" ht="15">
      <c r="A120" s="8" t="s">
        <v>56</v>
      </c>
      <c r="B120" s="249">
        <f t="shared" si="0"/>
        <v>14</v>
      </c>
    </row>
    <row r="121" spans="1:2" ht="15">
      <c r="A121" s="8" t="s">
        <v>118</v>
      </c>
      <c r="B121" s="249">
        <f t="shared" si="0"/>
        <v>15</v>
      </c>
    </row>
    <row r="122" spans="1:2" ht="15">
      <c r="A122" s="8" t="s">
        <v>119</v>
      </c>
      <c r="B122" s="249">
        <f t="shared" si="0"/>
        <v>16</v>
      </c>
    </row>
    <row r="123" spans="1:2" ht="15">
      <c r="A123" s="12" t="s">
        <v>120</v>
      </c>
      <c r="B123" s="249">
        <f t="shared" si="0"/>
        <v>17</v>
      </c>
    </row>
    <row r="124" spans="1:2" ht="15">
      <c r="A124" s="8" t="s">
        <v>57</v>
      </c>
      <c r="B124" s="249">
        <f t="shared" si="0"/>
        <v>18</v>
      </c>
    </row>
    <row r="125" spans="1:2" ht="15">
      <c r="A125" s="8" t="s">
        <v>121</v>
      </c>
      <c r="B125" s="249">
        <f t="shared" si="0"/>
        <v>19</v>
      </c>
    </row>
    <row r="126" spans="1:2" ht="15">
      <c r="A126" s="8" t="s">
        <v>122</v>
      </c>
      <c r="B126" s="249">
        <f t="shared" si="0"/>
        <v>20</v>
      </c>
    </row>
    <row r="127" spans="1:2" ht="15">
      <c r="A127" s="12" t="s">
        <v>123</v>
      </c>
      <c r="B127" s="249">
        <f t="shared" si="0"/>
        <v>21</v>
      </c>
    </row>
    <row r="128" spans="1:2" ht="15">
      <c r="A128" s="8" t="s">
        <v>92</v>
      </c>
      <c r="B128" s="249">
        <f t="shared" si="0"/>
        <v>22</v>
      </c>
    </row>
    <row r="129" spans="1:2" ht="30">
      <c r="A129" s="8" t="s">
        <v>124</v>
      </c>
      <c r="B129" s="249">
        <f t="shared" si="0"/>
        <v>23</v>
      </c>
    </row>
    <row r="130" spans="1:2" ht="30">
      <c r="A130" s="8" t="s">
        <v>125</v>
      </c>
      <c r="B130" s="249">
        <f t="shared" si="0"/>
        <v>24</v>
      </c>
    </row>
    <row r="131" spans="1:2" ht="15">
      <c r="A131" s="12" t="s">
        <v>126</v>
      </c>
      <c r="B131" s="249">
        <f t="shared" si="0"/>
        <v>25</v>
      </c>
    </row>
    <row r="132" spans="1:2" ht="15">
      <c r="A132" s="8" t="s">
        <v>58</v>
      </c>
      <c r="B132" s="249">
        <f t="shared" si="0"/>
        <v>26</v>
      </c>
    </row>
    <row r="133" spans="1:2" ht="15">
      <c r="A133" s="8" t="s">
        <v>127</v>
      </c>
      <c r="B133" s="249">
        <f t="shared" si="0"/>
        <v>27</v>
      </c>
    </row>
    <row r="134" spans="1:2" ht="15">
      <c r="A134" s="8" t="s">
        <v>128</v>
      </c>
      <c r="B134" s="249">
        <f t="shared" si="0"/>
        <v>28</v>
      </c>
    </row>
    <row r="135" spans="1:2" ht="15">
      <c r="A135" s="12" t="s">
        <v>129</v>
      </c>
      <c r="B135" s="249">
        <f t="shared" si="0"/>
        <v>29</v>
      </c>
    </row>
    <row r="136" spans="1:2" ht="15">
      <c r="A136" s="8" t="s">
        <v>59</v>
      </c>
      <c r="B136" s="249">
        <f t="shared" si="0"/>
        <v>30</v>
      </c>
    </row>
    <row r="137" spans="1:2" ht="15">
      <c r="A137" s="12" t="s">
        <v>130</v>
      </c>
      <c r="B137" s="249">
        <f t="shared" si="0"/>
        <v>31</v>
      </c>
    </row>
    <row r="138" spans="1:2" ht="15">
      <c r="A138" s="8" t="s">
        <v>72</v>
      </c>
      <c r="B138" s="249">
        <f t="shared" si="0"/>
        <v>32</v>
      </c>
    </row>
    <row r="139" spans="1:2" ht="15">
      <c r="A139" s="12" t="s">
        <v>1181</v>
      </c>
      <c r="B139" s="249">
        <f t="shared" si="0"/>
        <v>33</v>
      </c>
    </row>
    <row r="140" spans="1:2" ht="15">
      <c r="A140" s="8" t="s">
        <v>1178</v>
      </c>
      <c r="B140" s="249">
        <f t="shared" si="0"/>
        <v>34</v>
      </c>
    </row>
    <row r="141" spans="1:2" ht="15">
      <c r="A141" s="8" t="s">
        <v>1175</v>
      </c>
      <c r="B141" s="249">
        <f t="shared" si="0"/>
        <v>35</v>
      </c>
    </row>
    <row r="142" spans="1:2" ht="15">
      <c r="A142" s="8" t="s">
        <v>1172</v>
      </c>
      <c r="B142" s="249">
        <f t="shared" si="0"/>
        <v>36</v>
      </c>
    </row>
    <row r="143" spans="1:2" ht="15">
      <c r="A143" s="12" t="s">
        <v>1180</v>
      </c>
      <c r="B143" s="249">
        <f t="shared" si="0"/>
        <v>37</v>
      </c>
    </row>
    <row r="144" spans="1:2" ht="15">
      <c r="A144" s="8" t="s">
        <v>1177</v>
      </c>
      <c r="B144" s="249">
        <f t="shared" si="0"/>
        <v>38</v>
      </c>
    </row>
    <row r="145" spans="1:2" ht="15">
      <c r="A145" s="8" t="s">
        <v>1174</v>
      </c>
      <c r="B145" s="249">
        <f t="shared" si="0"/>
        <v>39</v>
      </c>
    </row>
    <row r="146" spans="1:2" ht="15">
      <c r="A146" s="8" t="s">
        <v>1171</v>
      </c>
      <c r="B146" s="249">
        <f t="shared" si="0"/>
        <v>40</v>
      </c>
    </row>
    <row r="147" spans="1:2" ht="15">
      <c r="A147" s="12" t="s">
        <v>131</v>
      </c>
      <c r="B147" s="249">
        <f t="shared" si="0"/>
        <v>41</v>
      </c>
    </row>
    <row r="148" spans="1:2" ht="15">
      <c r="A148" s="8" t="s">
        <v>60</v>
      </c>
      <c r="B148" s="249">
        <f t="shared" si="0"/>
        <v>42</v>
      </c>
    </row>
    <row r="149" spans="1:2" ht="15">
      <c r="A149" s="8" t="s">
        <v>132</v>
      </c>
      <c r="B149" s="249">
        <f t="shared" si="0"/>
        <v>43</v>
      </c>
    </row>
    <row r="150" spans="1:2" ht="15">
      <c r="A150" s="8" t="s">
        <v>133</v>
      </c>
      <c r="B150" s="249">
        <f t="shared" si="0"/>
        <v>44</v>
      </c>
    </row>
    <row r="151" spans="1:2" ht="15">
      <c r="A151" s="12" t="s">
        <v>134</v>
      </c>
      <c r="B151" s="249">
        <f t="shared" si="0"/>
        <v>45</v>
      </c>
    </row>
    <row r="152" spans="1:2" ht="15">
      <c r="A152" s="8" t="s">
        <v>61</v>
      </c>
      <c r="B152" s="249">
        <f t="shared" si="0"/>
        <v>46</v>
      </c>
    </row>
    <row r="153" spans="1:2" ht="15">
      <c r="A153" s="8" t="s">
        <v>135</v>
      </c>
      <c r="B153" s="249">
        <f t="shared" si="0"/>
        <v>47</v>
      </c>
    </row>
    <row r="154" spans="1:2" ht="15">
      <c r="A154" s="12" t="s">
        <v>136</v>
      </c>
      <c r="B154" s="249">
        <f t="shared" si="0"/>
        <v>48</v>
      </c>
    </row>
    <row r="155" spans="1:2" ht="15">
      <c r="A155" s="8" t="s">
        <v>73</v>
      </c>
      <c r="B155" s="249">
        <f t="shared" si="0"/>
        <v>49</v>
      </c>
    </row>
    <row r="156" spans="1:2" ht="15">
      <c r="A156" s="8" t="s">
        <v>137</v>
      </c>
      <c r="B156" s="249">
        <f t="shared" si="0"/>
        <v>50</v>
      </c>
    </row>
    <row r="157" spans="1:2" ht="15">
      <c r="A157" s="12" t="s">
        <v>138</v>
      </c>
      <c r="B157" s="249">
        <f t="shared" si="0"/>
        <v>51</v>
      </c>
    </row>
    <row r="158" spans="1:2" ht="15">
      <c r="A158" s="8" t="s">
        <v>93</v>
      </c>
      <c r="B158" s="249">
        <f t="shared" si="0"/>
        <v>52</v>
      </c>
    </row>
    <row r="159" spans="1:2" ht="15">
      <c r="A159" s="8" t="s">
        <v>139</v>
      </c>
      <c r="B159" s="249">
        <f t="shared" si="0"/>
        <v>53</v>
      </c>
    </row>
    <row r="160" spans="1:2" ht="15">
      <c r="A160" s="8" t="s">
        <v>140</v>
      </c>
      <c r="B160" s="249">
        <f t="shared" si="0"/>
        <v>54</v>
      </c>
    </row>
    <row r="161" spans="1:2" ht="15">
      <c r="A161" s="12" t="s">
        <v>141</v>
      </c>
      <c r="B161" s="249">
        <f t="shared" si="0"/>
        <v>55</v>
      </c>
    </row>
    <row r="162" spans="1:2" ht="15">
      <c r="A162" s="8" t="s">
        <v>94</v>
      </c>
      <c r="B162" s="249">
        <f t="shared" si="0"/>
        <v>56</v>
      </c>
    </row>
    <row r="163" spans="1:2" ht="15">
      <c r="A163" s="8" t="s">
        <v>142</v>
      </c>
      <c r="B163" s="249">
        <f t="shared" si="0"/>
        <v>57</v>
      </c>
    </row>
    <row r="164" spans="1:2" ht="15">
      <c r="A164" s="8" t="s">
        <v>143</v>
      </c>
      <c r="B164" s="249">
        <f t="shared" si="0"/>
        <v>58</v>
      </c>
    </row>
    <row r="165" spans="1:2" ht="15">
      <c r="A165" s="12" t="s">
        <v>144</v>
      </c>
      <c r="B165" s="249">
        <f t="shared" si="0"/>
        <v>59</v>
      </c>
    </row>
    <row r="166" spans="1:2" ht="15">
      <c r="A166" s="8" t="s">
        <v>95</v>
      </c>
      <c r="B166" s="249">
        <f t="shared" si="0"/>
        <v>60</v>
      </c>
    </row>
    <row r="167" spans="1:2" ht="15">
      <c r="A167" s="8" t="s">
        <v>145</v>
      </c>
      <c r="B167" s="249">
        <f t="shared" si="0"/>
        <v>61</v>
      </c>
    </row>
    <row r="168" spans="1:2" ht="15">
      <c r="A168" s="8" t="s">
        <v>146</v>
      </c>
      <c r="B168" s="249">
        <f t="shared" si="0"/>
        <v>62</v>
      </c>
    </row>
    <row r="169" spans="1:2" ht="15">
      <c r="A169" s="12" t="s">
        <v>147</v>
      </c>
      <c r="B169" s="249">
        <f t="shared" si="0"/>
        <v>63</v>
      </c>
    </row>
    <row r="170" spans="1:2" ht="15">
      <c r="A170" s="8" t="s">
        <v>96</v>
      </c>
      <c r="B170" s="249">
        <f t="shared" si="0"/>
        <v>64</v>
      </c>
    </row>
    <row r="171" spans="1:2" ht="15">
      <c r="A171" s="8" t="s">
        <v>148</v>
      </c>
      <c r="B171" s="249">
        <f t="shared" si="0"/>
        <v>65</v>
      </c>
    </row>
    <row r="172" spans="1:2" ht="15">
      <c r="A172" s="8" t="s">
        <v>149</v>
      </c>
      <c r="B172" s="249">
        <f t="shared" si="0"/>
        <v>66</v>
      </c>
    </row>
    <row r="173" spans="1:2" ht="15">
      <c r="A173" s="12" t="s">
        <v>150</v>
      </c>
      <c r="B173" s="249">
        <f t="shared" ref="B173:B215" si="1">B172+1</f>
        <v>67</v>
      </c>
    </row>
    <row r="174" spans="1:2" ht="15">
      <c r="A174" s="8" t="s">
        <v>97</v>
      </c>
      <c r="B174" s="249">
        <f t="shared" si="1"/>
        <v>68</v>
      </c>
    </row>
    <row r="175" spans="1:2" ht="15">
      <c r="A175" s="8" t="s">
        <v>151</v>
      </c>
      <c r="B175" s="249">
        <f t="shared" si="1"/>
        <v>69</v>
      </c>
    </row>
    <row r="176" spans="1:2" ht="15">
      <c r="A176" s="8" t="s">
        <v>152</v>
      </c>
      <c r="B176" s="249">
        <f t="shared" si="1"/>
        <v>70</v>
      </c>
    </row>
    <row r="177" spans="1:2" ht="15">
      <c r="A177" s="288" t="s">
        <v>1179</v>
      </c>
      <c r="B177" s="249">
        <f t="shared" si="1"/>
        <v>71</v>
      </c>
    </row>
    <row r="178" spans="1:2" ht="15">
      <c r="A178" s="285" t="s">
        <v>1176</v>
      </c>
      <c r="B178" s="249">
        <f t="shared" si="1"/>
        <v>72</v>
      </c>
    </row>
    <row r="179" spans="1:2" ht="15">
      <c r="A179" s="285" t="s">
        <v>1173</v>
      </c>
      <c r="B179" s="249">
        <f t="shared" si="1"/>
        <v>73</v>
      </c>
    </row>
    <row r="180" spans="1:2" ht="15">
      <c r="A180" s="285" t="s">
        <v>1170</v>
      </c>
      <c r="B180" s="249">
        <f t="shared" si="1"/>
        <v>74</v>
      </c>
    </row>
    <row r="181" spans="1:2" ht="15">
      <c r="A181" s="288" t="s">
        <v>153</v>
      </c>
      <c r="B181" s="249">
        <f t="shared" si="1"/>
        <v>75</v>
      </c>
    </row>
    <row r="182" spans="1:2" ht="15">
      <c r="A182" s="285" t="s">
        <v>62</v>
      </c>
      <c r="B182" s="249">
        <f t="shared" si="1"/>
        <v>76</v>
      </c>
    </row>
    <row r="183" spans="1:2" ht="15">
      <c r="A183" s="285" t="s">
        <v>154</v>
      </c>
      <c r="B183" s="249">
        <f t="shared" si="1"/>
        <v>77</v>
      </c>
    </row>
    <row r="184" spans="1:2" ht="15">
      <c r="A184" s="288" t="s">
        <v>155</v>
      </c>
      <c r="B184" s="249">
        <f t="shared" si="1"/>
        <v>78</v>
      </c>
    </row>
    <row r="185" spans="1:2" ht="15">
      <c r="A185" s="285" t="s">
        <v>63</v>
      </c>
      <c r="B185" s="249">
        <f t="shared" si="1"/>
        <v>79</v>
      </c>
    </row>
    <row r="186" spans="1:2" ht="15">
      <c r="A186" s="285" t="s">
        <v>156</v>
      </c>
      <c r="B186" s="249">
        <f t="shared" si="1"/>
        <v>80</v>
      </c>
    </row>
    <row r="187" spans="1:2" ht="15">
      <c r="A187" s="285" t="s">
        <v>157</v>
      </c>
      <c r="B187" s="249">
        <f t="shared" si="1"/>
        <v>81</v>
      </c>
    </row>
    <row r="188" spans="1:2" ht="15">
      <c r="A188" s="288" t="s">
        <v>1559</v>
      </c>
      <c r="B188" s="249">
        <f t="shared" si="1"/>
        <v>82</v>
      </c>
    </row>
    <row r="189" spans="1:2" ht="15">
      <c r="A189" s="285" t="s">
        <v>1516</v>
      </c>
      <c r="B189" s="249">
        <f t="shared" si="1"/>
        <v>83</v>
      </c>
    </row>
    <row r="190" spans="1:2" ht="15">
      <c r="A190" s="288" t="s">
        <v>158</v>
      </c>
      <c r="B190" s="249">
        <f t="shared" si="1"/>
        <v>84</v>
      </c>
    </row>
    <row r="191" spans="1:2" ht="15">
      <c r="A191" s="285" t="s">
        <v>64</v>
      </c>
      <c r="B191" s="249">
        <f t="shared" si="1"/>
        <v>85</v>
      </c>
    </row>
    <row r="192" spans="1:2" ht="15">
      <c r="A192" s="285" t="s">
        <v>159</v>
      </c>
      <c r="B192" s="249">
        <f t="shared" si="1"/>
        <v>86</v>
      </c>
    </row>
    <row r="193" spans="1:2" ht="15">
      <c r="A193" s="285" t="s">
        <v>160</v>
      </c>
      <c r="B193" s="249">
        <f t="shared" si="1"/>
        <v>87</v>
      </c>
    </row>
    <row r="194" spans="1:2" ht="15">
      <c r="A194" s="288" t="s">
        <v>1560</v>
      </c>
      <c r="B194" s="249">
        <f t="shared" si="1"/>
        <v>88</v>
      </c>
    </row>
    <row r="195" spans="1:2" ht="15">
      <c r="A195" s="285" t="s">
        <v>1517</v>
      </c>
      <c r="B195" s="249">
        <f t="shared" si="1"/>
        <v>89</v>
      </c>
    </row>
    <row r="196" spans="1:2" ht="15">
      <c r="A196" s="288" t="s">
        <v>161</v>
      </c>
      <c r="B196" s="249">
        <f t="shared" si="1"/>
        <v>90</v>
      </c>
    </row>
    <row r="197" spans="1:2" ht="15">
      <c r="A197" s="285" t="s">
        <v>65</v>
      </c>
      <c r="B197" s="249">
        <f t="shared" si="1"/>
        <v>91</v>
      </c>
    </row>
    <row r="198" spans="1:2" ht="15">
      <c r="A198" s="285" t="s">
        <v>162</v>
      </c>
      <c r="B198" s="249">
        <f t="shared" si="1"/>
        <v>92</v>
      </c>
    </row>
    <row r="199" spans="1:2" ht="15">
      <c r="A199" s="288" t="s">
        <v>1561</v>
      </c>
      <c r="B199" s="249">
        <f t="shared" si="1"/>
        <v>93</v>
      </c>
    </row>
    <row r="200" spans="1:2" ht="15">
      <c r="A200" s="285" t="s">
        <v>1518</v>
      </c>
      <c r="B200" s="249">
        <f t="shared" si="1"/>
        <v>94</v>
      </c>
    </row>
    <row r="201" spans="1:2" ht="15">
      <c r="A201" s="288" t="s">
        <v>163</v>
      </c>
      <c r="B201" s="249">
        <f t="shared" si="1"/>
        <v>95</v>
      </c>
    </row>
    <row r="202" spans="1:2" ht="15">
      <c r="A202" s="285" t="s">
        <v>66</v>
      </c>
      <c r="B202" s="249">
        <f t="shared" si="1"/>
        <v>96</v>
      </c>
    </row>
    <row r="203" spans="1:2" ht="15">
      <c r="A203" s="285" t="s">
        <v>164</v>
      </c>
      <c r="B203" s="249">
        <f t="shared" si="1"/>
        <v>97</v>
      </c>
    </row>
    <row r="204" spans="1:2" ht="15">
      <c r="A204" s="288" t="s">
        <v>1562</v>
      </c>
      <c r="B204" s="249">
        <f t="shared" si="1"/>
        <v>98</v>
      </c>
    </row>
    <row r="205" spans="1:2" ht="15">
      <c r="A205" s="285" t="s">
        <v>1519</v>
      </c>
      <c r="B205" s="249">
        <f t="shared" si="1"/>
        <v>99</v>
      </c>
    </row>
    <row r="206" spans="1:2" ht="15">
      <c r="A206" s="288" t="s">
        <v>165</v>
      </c>
      <c r="B206" s="249">
        <f t="shared" si="1"/>
        <v>100</v>
      </c>
    </row>
    <row r="207" spans="1:2" ht="15">
      <c r="A207" s="285" t="s">
        <v>74</v>
      </c>
      <c r="B207" s="249">
        <f t="shared" si="1"/>
        <v>101</v>
      </c>
    </row>
    <row r="208" spans="1:2" ht="15">
      <c r="A208" s="285" t="s">
        <v>166</v>
      </c>
      <c r="B208" s="249">
        <f t="shared" si="1"/>
        <v>102</v>
      </c>
    </row>
    <row r="209" spans="1:3" ht="15">
      <c r="A209" s="288" t="s">
        <v>1563</v>
      </c>
      <c r="B209" s="249">
        <f t="shared" si="1"/>
        <v>103</v>
      </c>
    </row>
    <row r="210" spans="1:3" ht="15">
      <c r="A210" s="285" t="s">
        <v>1520</v>
      </c>
      <c r="B210" s="249">
        <f t="shared" si="1"/>
        <v>104</v>
      </c>
    </row>
    <row r="211" spans="1:3" ht="15">
      <c r="A211" s="288" t="s">
        <v>167</v>
      </c>
      <c r="B211" s="249">
        <f t="shared" si="1"/>
        <v>105</v>
      </c>
    </row>
    <row r="212" spans="1:3" ht="15">
      <c r="A212" s="285" t="s">
        <v>75</v>
      </c>
      <c r="B212" s="249">
        <f t="shared" si="1"/>
        <v>106</v>
      </c>
    </row>
    <row r="213" spans="1:3" ht="15">
      <c r="A213" s="285" t="s">
        <v>168</v>
      </c>
      <c r="B213" s="249">
        <f t="shared" si="1"/>
        <v>107</v>
      </c>
    </row>
    <row r="214" spans="1:3" ht="15">
      <c r="A214" s="288" t="s">
        <v>1564</v>
      </c>
      <c r="B214" s="249">
        <f t="shared" si="1"/>
        <v>108</v>
      </c>
    </row>
    <row r="215" spans="1:3" ht="15">
      <c r="A215" s="285" t="s">
        <v>1521</v>
      </c>
      <c r="B215" s="249">
        <f t="shared" si="1"/>
        <v>109</v>
      </c>
    </row>
    <row r="217" spans="1:3" ht="15.75">
      <c r="A217" s="142" t="s">
        <v>169</v>
      </c>
    </row>
    <row r="218" spans="1:3" ht="14.25">
      <c r="A218" s="205" t="s">
        <v>224</v>
      </c>
    </row>
    <row r="219" spans="1:3">
      <c r="A219" s="26" t="s">
        <v>99</v>
      </c>
    </row>
    <row r="220" spans="1:3" ht="25.5">
      <c r="B220" s="204" t="s">
        <v>170</v>
      </c>
    </row>
    <row r="221" spans="1:3" ht="14.25">
      <c r="A221" s="164" t="s">
        <v>171</v>
      </c>
      <c r="B221" s="249">
        <f>'CDCM Forecast Data'!A111</f>
        <v>98</v>
      </c>
      <c r="C221" s="203" t="s">
        <v>224</v>
      </c>
    </row>
    <row r="223" spans="1:3" ht="15.75">
      <c r="A223" s="142" t="s">
        <v>172</v>
      </c>
    </row>
    <row r="224" spans="1:3" ht="14.25">
      <c r="A224" s="205" t="s">
        <v>224</v>
      </c>
    </row>
    <row r="225" spans="1:10" ht="25.5">
      <c r="B225" s="204" t="s">
        <v>173</v>
      </c>
      <c r="C225" s="204" t="s">
        <v>174</v>
      </c>
      <c r="D225" s="204" t="s">
        <v>175</v>
      </c>
      <c r="E225" s="204" t="s">
        <v>176</v>
      </c>
    </row>
    <row r="226" spans="1:10" ht="14.25">
      <c r="A226" s="164" t="s">
        <v>177</v>
      </c>
      <c r="B226" s="249">
        <f>'CDCM Forecast Data'!A113</f>
        <v>100</v>
      </c>
      <c r="C226" s="249">
        <f>'CDCM Forecast Data'!A114</f>
        <v>101</v>
      </c>
      <c r="D226" s="249">
        <f>'CDCM Forecast Data'!A115</f>
        <v>102</v>
      </c>
      <c r="E226" s="249">
        <f>'CDCM Forecast Data'!A116</f>
        <v>103</v>
      </c>
      <c r="F226" s="203" t="s">
        <v>224</v>
      </c>
    </row>
    <row r="228" spans="1:10" ht="15.75">
      <c r="A228" s="142" t="s">
        <v>178</v>
      </c>
    </row>
    <row r="229" spans="1:10" ht="14.25">
      <c r="A229" s="168"/>
    </row>
    <row r="230" spans="1:10">
      <c r="A230" s="26" t="s">
        <v>179</v>
      </c>
    </row>
    <row r="231" spans="1:10">
      <c r="A231" s="26" t="s">
        <v>180</v>
      </c>
    </row>
    <row r="232" spans="1:10">
      <c r="A232" s="26" t="s">
        <v>181</v>
      </c>
    </row>
    <row r="233" spans="1:10" ht="25.5">
      <c r="B233" s="204" t="s">
        <v>182</v>
      </c>
      <c r="C233" s="204" t="s">
        <v>183</v>
      </c>
      <c r="D233" s="204" t="s">
        <v>184</v>
      </c>
      <c r="E233" s="204" t="s">
        <v>185</v>
      </c>
      <c r="F233" s="204" t="s">
        <v>186</v>
      </c>
      <c r="G233" s="204" t="s">
        <v>187</v>
      </c>
      <c r="H233" s="204" t="s">
        <v>188</v>
      </c>
      <c r="I233" s="204" t="s">
        <v>189</v>
      </c>
    </row>
    <row r="234" spans="1:10" ht="14.25">
      <c r="A234" s="164" t="s">
        <v>190</v>
      </c>
      <c r="B234" s="249">
        <f>'CDCM Forecast Data'!A119</f>
        <v>106</v>
      </c>
      <c r="C234" s="249">
        <f>'CDCM Forecast Data'!A120</f>
        <v>107</v>
      </c>
      <c r="D234" s="249">
        <f>'CDCM Forecast Data'!A121</f>
        <v>108</v>
      </c>
      <c r="E234" s="249">
        <f>'CDCM Forecast Data'!A122</f>
        <v>109</v>
      </c>
      <c r="F234" s="249">
        <f>'CDCM Forecast Data'!A123</f>
        <v>110</v>
      </c>
      <c r="G234" s="249">
        <f>'CDCM Forecast Data'!A124</f>
        <v>111</v>
      </c>
      <c r="H234" s="249">
        <f>'CDCM Forecast Data'!A125</f>
        <v>112</v>
      </c>
      <c r="I234" s="249">
        <f>'CDCM Forecast Data'!A126</f>
        <v>113</v>
      </c>
      <c r="J234" s="203" t="s">
        <v>224</v>
      </c>
    </row>
    <row r="235" spans="1:10" ht="14.25">
      <c r="A235" s="164" t="s">
        <v>191</v>
      </c>
      <c r="B235" s="249">
        <f>'CDCM Forecast Data'!A128</f>
        <v>115</v>
      </c>
      <c r="C235" s="249">
        <f>'CDCM Forecast Data'!A129</f>
        <v>116</v>
      </c>
      <c r="D235" s="249">
        <f>'CDCM Forecast Data'!A130</f>
        <v>117</v>
      </c>
      <c r="E235" s="249">
        <f>'CDCM Forecast Data'!A131</f>
        <v>118</v>
      </c>
      <c r="F235" s="249">
        <f>'CDCM Forecast Data'!A132</f>
        <v>119</v>
      </c>
      <c r="G235" s="249">
        <f>'CDCM Forecast Data'!A133</f>
        <v>120</v>
      </c>
      <c r="H235" s="249">
        <f>'CDCM Forecast Data'!A134</f>
        <v>121</v>
      </c>
      <c r="I235" s="249"/>
      <c r="J235" s="203" t="s">
        <v>224</v>
      </c>
    </row>
    <row r="236" spans="1:10" ht="14.25">
      <c r="A236" s="164" t="s">
        <v>192</v>
      </c>
      <c r="B236" s="249">
        <f>'CDCM Forecast Data'!A136</f>
        <v>123</v>
      </c>
      <c r="C236" s="249">
        <f>'CDCM Forecast Data'!A137</f>
        <v>124</v>
      </c>
      <c r="D236" s="249">
        <f>'CDCM Forecast Data'!A138</f>
        <v>125</v>
      </c>
      <c r="E236" s="249">
        <f>'CDCM Forecast Data'!A139</f>
        <v>126</v>
      </c>
      <c r="F236" s="249">
        <f>'CDCM Forecast Data'!A140</f>
        <v>127</v>
      </c>
      <c r="G236" s="249">
        <f>'CDCM Forecast Data'!A141</f>
        <v>128</v>
      </c>
      <c r="H236" s="249"/>
      <c r="I236" s="249"/>
      <c r="J236" s="203" t="s">
        <v>224</v>
      </c>
    </row>
    <row r="237" spans="1:10" ht="14.25">
      <c r="A237" s="164" t="s">
        <v>193</v>
      </c>
      <c r="B237" s="249">
        <f>'CDCM Forecast Data'!A143</f>
        <v>130</v>
      </c>
      <c r="C237" s="249">
        <f>'CDCM Forecast Data'!A144</f>
        <v>131</v>
      </c>
      <c r="D237" s="249">
        <f>'CDCM Forecast Data'!A145</f>
        <v>132</v>
      </c>
      <c r="E237" s="249">
        <f>'CDCM Forecast Data'!A146</f>
        <v>133</v>
      </c>
      <c r="F237" s="249"/>
      <c r="G237" s="249"/>
      <c r="H237" s="249"/>
      <c r="I237" s="249"/>
      <c r="J237" s="203" t="s">
        <v>224</v>
      </c>
    </row>
    <row r="239" spans="1:10" ht="15.75">
      <c r="A239" s="142" t="s">
        <v>194</v>
      </c>
    </row>
    <row r="240" spans="1:10" ht="14.25">
      <c r="A240" s="168"/>
    </row>
    <row r="241" spans="1:5">
      <c r="A241" s="26" t="s">
        <v>88</v>
      </c>
    </row>
    <row r="242" spans="1:5">
      <c r="A242" s="26" t="s">
        <v>1121</v>
      </c>
    </row>
    <row r="243" spans="1:5">
      <c r="A243" s="26" t="s">
        <v>1120</v>
      </c>
    </row>
    <row r="244" spans="1:5">
      <c r="A244" s="26" t="s">
        <v>1119</v>
      </c>
    </row>
    <row r="245" spans="1:5">
      <c r="A245" s="26" t="s">
        <v>1118</v>
      </c>
    </row>
    <row r="246" spans="1:5">
      <c r="B246" s="204" t="s">
        <v>195</v>
      </c>
      <c r="C246" s="204" t="s">
        <v>196</v>
      </c>
      <c r="D246" s="204" t="s">
        <v>197</v>
      </c>
    </row>
    <row r="247" spans="1:5" ht="14.25">
      <c r="A247" s="164" t="s">
        <v>54</v>
      </c>
      <c r="B247" s="249">
        <f>'CDCM Forecast Data'!A149</f>
        <v>136</v>
      </c>
      <c r="C247" s="249">
        <f>'CDCM Forecast Data'!A159</f>
        <v>146</v>
      </c>
      <c r="D247" s="253">
        <f>'CDCM Forecast Data'!A169</f>
        <v>156</v>
      </c>
      <c r="E247" s="203" t="s">
        <v>224</v>
      </c>
    </row>
    <row r="248" spans="1:5" ht="14.25">
      <c r="A248" s="164" t="s">
        <v>55</v>
      </c>
      <c r="B248" s="249">
        <f>'CDCM Forecast Data'!A150</f>
        <v>137</v>
      </c>
      <c r="C248" s="249">
        <f>'CDCM Forecast Data'!A160</f>
        <v>147</v>
      </c>
      <c r="D248" s="253">
        <f>'CDCM Forecast Data'!A170</f>
        <v>157</v>
      </c>
      <c r="E248" s="203" t="s">
        <v>224</v>
      </c>
    </row>
    <row r="249" spans="1:5" ht="14.25">
      <c r="A249" s="164" t="s">
        <v>91</v>
      </c>
      <c r="B249" s="249">
        <f>'CDCM Forecast Data'!A151</f>
        <v>138</v>
      </c>
      <c r="C249" s="249">
        <f>'CDCM Forecast Data'!A161</f>
        <v>148</v>
      </c>
      <c r="D249" s="253">
        <f>'CDCM Forecast Data'!A171</f>
        <v>158</v>
      </c>
      <c r="E249" s="203"/>
    </row>
    <row r="250" spans="1:5" ht="14.25">
      <c r="A250" s="164" t="s">
        <v>56</v>
      </c>
      <c r="B250" s="249">
        <f>'CDCM Forecast Data'!A152</f>
        <v>139</v>
      </c>
      <c r="C250" s="249">
        <f>'CDCM Forecast Data'!A162</f>
        <v>149</v>
      </c>
      <c r="D250" s="253">
        <f>'CDCM Forecast Data'!A172</f>
        <v>159</v>
      </c>
      <c r="E250" s="203"/>
    </row>
    <row r="251" spans="1:5" ht="14.25">
      <c r="A251" s="164" t="s">
        <v>57</v>
      </c>
      <c r="B251" s="249">
        <f>'CDCM Forecast Data'!A153</f>
        <v>140</v>
      </c>
      <c r="C251" s="249">
        <f>'CDCM Forecast Data'!A163</f>
        <v>150</v>
      </c>
      <c r="D251" s="253">
        <f>'CDCM Forecast Data'!A173</f>
        <v>160</v>
      </c>
      <c r="E251" s="203" t="s">
        <v>224</v>
      </c>
    </row>
    <row r="252" spans="1:5" ht="14.25">
      <c r="A252" s="164" t="s">
        <v>92</v>
      </c>
      <c r="B252" s="249">
        <f>'CDCM Forecast Data'!A154</f>
        <v>141</v>
      </c>
      <c r="C252" s="249">
        <f>'CDCM Forecast Data'!A164</f>
        <v>151</v>
      </c>
      <c r="D252" s="253">
        <f>'CDCM Forecast Data'!A174</f>
        <v>161</v>
      </c>
      <c r="E252" s="203" t="s">
        <v>224</v>
      </c>
    </row>
    <row r="253" spans="1:5" ht="14.25">
      <c r="A253" s="164" t="s">
        <v>58</v>
      </c>
      <c r="B253" s="249">
        <f>'CDCM Forecast Data'!A155</f>
        <v>142</v>
      </c>
      <c r="C253" s="249">
        <f>'CDCM Forecast Data'!A165</f>
        <v>152</v>
      </c>
      <c r="D253" s="253">
        <f>'CDCM Forecast Data'!A175</f>
        <v>162</v>
      </c>
      <c r="E253" s="203" t="s">
        <v>224</v>
      </c>
    </row>
    <row r="254" spans="1:5" ht="14.25">
      <c r="A254" s="164" t="s">
        <v>59</v>
      </c>
      <c r="B254" s="249">
        <f>'CDCM Forecast Data'!A156</f>
        <v>143</v>
      </c>
      <c r="C254" s="249">
        <f>'CDCM Forecast Data'!A166</f>
        <v>153</v>
      </c>
      <c r="D254" s="253">
        <f>'CDCM Forecast Data'!A176</f>
        <v>163</v>
      </c>
      <c r="E254" s="203" t="s">
        <v>224</v>
      </c>
    </row>
    <row r="255" spans="1:5" ht="14.25">
      <c r="A255" s="164" t="s">
        <v>72</v>
      </c>
      <c r="B255" s="249">
        <f>'CDCM Forecast Data'!A157</f>
        <v>144</v>
      </c>
      <c r="C255" s="249">
        <f>'CDCM Forecast Data'!A167</f>
        <v>154</v>
      </c>
      <c r="D255" s="253">
        <f>'CDCM Forecast Data'!A177</f>
        <v>164</v>
      </c>
      <c r="E255" s="203" t="s">
        <v>224</v>
      </c>
    </row>
    <row r="257" spans="1:5" ht="15.75">
      <c r="A257" s="142" t="s">
        <v>198</v>
      </c>
    </row>
    <row r="258" spans="1:5" ht="14.25">
      <c r="A258" s="168"/>
    </row>
    <row r="259" spans="1:5">
      <c r="A259" s="26" t="s">
        <v>88</v>
      </c>
    </row>
    <row r="260" spans="1:5">
      <c r="A260" s="26" t="s">
        <v>1117</v>
      </c>
    </row>
    <row r="261" spans="1:5">
      <c r="A261" s="26" t="s">
        <v>1116</v>
      </c>
    </row>
    <row r="262" spans="1:5">
      <c r="B262" s="204" t="s">
        <v>195</v>
      </c>
      <c r="C262" s="204" t="s">
        <v>196</v>
      </c>
      <c r="D262" s="204" t="s">
        <v>197</v>
      </c>
    </row>
    <row r="263" spans="1:5" ht="14.25">
      <c r="A263" s="164" t="s">
        <v>55</v>
      </c>
      <c r="B263" s="249">
        <f>'CDCM Forecast Data'!A180</f>
        <v>167</v>
      </c>
      <c r="C263" s="253">
        <f>'CDCM Forecast Data'!A186</f>
        <v>173</v>
      </c>
      <c r="D263" s="249">
        <f>'CDCM Forecast Data'!A192</f>
        <v>179</v>
      </c>
      <c r="E263" s="210" t="s">
        <v>224</v>
      </c>
    </row>
    <row r="264" spans="1:5" ht="14.25">
      <c r="A264" s="164" t="s">
        <v>57</v>
      </c>
      <c r="B264" s="249">
        <f>'CDCM Forecast Data'!A181</f>
        <v>168</v>
      </c>
      <c r="C264" s="253">
        <f>'CDCM Forecast Data'!A187</f>
        <v>174</v>
      </c>
      <c r="D264" s="249">
        <f>'CDCM Forecast Data'!A193</f>
        <v>180</v>
      </c>
      <c r="E264" s="210" t="s">
        <v>224</v>
      </c>
    </row>
    <row r="265" spans="1:5" ht="14.25">
      <c r="A265" s="164" t="s">
        <v>58</v>
      </c>
      <c r="B265" s="249">
        <f>'CDCM Forecast Data'!A182</f>
        <v>169</v>
      </c>
      <c r="C265" s="253">
        <f>'CDCM Forecast Data'!A188</f>
        <v>175</v>
      </c>
      <c r="D265" s="249">
        <f>'CDCM Forecast Data'!A194</f>
        <v>181</v>
      </c>
      <c r="E265" s="210" t="s">
        <v>224</v>
      </c>
    </row>
    <row r="266" spans="1:5" ht="14.25">
      <c r="A266" s="164" t="s">
        <v>59</v>
      </c>
      <c r="B266" s="249">
        <f>'CDCM Forecast Data'!A183</f>
        <v>170</v>
      </c>
      <c r="C266" s="253">
        <f>'CDCM Forecast Data'!A189</f>
        <v>176</v>
      </c>
      <c r="D266" s="249">
        <f>'CDCM Forecast Data'!A195</f>
        <v>182</v>
      </c>
      <c r="E266" s="210" t="s">
        <v>224</v>
      </c>
    </row>
    <row r="267" spans="1:5" ht="14.25">
      <c r="A267" s="164" t="s">
        <v>72</v>
      </c>
      <c r="B267" s="249">
        <f>'CDCM Forecast Data'!A184</f>
        <v>171</v>
      </c>
      <c r="C267" s="253">
        <f>'CDCM Forecast Data'!A190</f>
        <v>177</v>
      </c>
      <c r="D267" s="249">
        <f>'CDCM Forecast Data'!A196</f>
        <v>183</v>
      </c>
      <c r="E267" s="210" t="s">
        <v>224</v>
      </c>
    </row>
    <row r="269" spans="1:5" ht="16.5">
      <c r="A269" s="208" t="s">
        <v>199</v>
      </c>
    </row>
    <row r="271" spans="1:5">
      <c r="B271" s="204" t="s">
        <v>200</v>
      </c>
      <c r="C271" s="204" t="s">
        <v>201</v>
      </c>
      <c r="D271" s="204" t="s">
        <v>197</v>
      </c>
      <c r="E271" s="26" t="s">
        <v>224</v>
      </c>
    </row>
    <row r="272" spans="1:5">
      <c r="A272" s="164" t="s">
        <v>93</v>
      </c>
      <c r="B272" s="249">
        <f>'CDCM Forecast Data'!A199</f>
        <v>186</v>
      </c>
      <c r="C272" s="249">
        <f>'CDCM Forecast Data'!A204</f>
        <v>191</v>
      </c>
      <c r="D272" s="253">
        <f>'CDCM Forecast Data'!A209</f>
        <v>196</v>
      </c>
      <c r="E272" s="207" t="s">
        <v>224</v>
      </c>
    </row>
    <row r="273" spans="1:5">
      <c r="A273" s="164" t="s">
        <v>94</v>
      </c>
      <c r="B273" s="249">
        <f>'CDCM Forecast Data'!A200</f>
        <v>187</v>
      </c>
      <c r="C273" s="249">
        <f>'CDCM Forecast Data'!A205</f>
        <v>192</v>
      </c>
      <c r="D273" s="253">
        <f>'CDCM Forecast Data'!A210</f>
        <v>197</v>
      </c>
      <c r="E273" s="207" t="s">
        <v>224</v>
      </c>
    </row>
    <row r="274" spans="1:5">
      <c r="A274" s="164" t="s">
        <v>95</v>
      </c>
      <c r="B274" s="249">
        <f>'CDCM Forecast Data'!A201</f>
        <v>188</v>
      </c>
      <c r="C274" s="249">
        <f>'CDCM Forecast Data'!A206</f>
        <v>193</v>
      </c>
      <c r="D274" s="253">
        <f>'CDCM Forecast Data'!A211</f>
        <v>198</v>
      </c>
      <c r="E274" s="207" t="s">
        <v>224</v>
      </c>
    </row>
    <row r="275" spans="1:5">
      <c r="A275" s="164" t="s">
        <v>96</v>
      </c>
      <c r="B275" s="249">
        <f>'CDCM Forecast Data'!A202</f>
        <v>189</v>
      </c>
      <c r="C275" s="249">
        <f>'CDCM Forecast Data'!A207</f>
        <v>194</v>
      </c>
      <c r="D275" s="253">
        <f>'CDCM Forecast Data'!A212</f>
        <v>199</v>
      </c>
      <c r="E275" s="207" t="s">
        <v>224</v>
      </c>
    </row>
    <row r="277" spans="1:5" ht="16.5">
      <c r="A277" s="208" t="s">
        <v>202</v>
      </c>
    </row>
    <row r="278" spans="1:5">
      <c r="A278" s="206" t="s">
        <v>203</v>
      </c>
    </row>
    <row r="279" spans="1:5">
      <c r="A279" s="206" t="s">
        <v>204</v>
      </c>
    </row>
    <row r="281" spans="1:5">
      <c r="B281" s="204" t="s">
        <v>200</v>
      </c>
      <c r="C281" s="204" t="s">
        <v>201</v>
      </c>
      <c r="D281" s="204" t="s">
        <v>197</v>
      </c>
    </row>
    <row r="282" spans="1:5">
      <c r="A282" s="164" t="s">
        <v>205</v>
      </c>
      <c r="B282" s="253">
        <f>'CDCM Forecast Data'!A214</f>
        <v>201</v>
      </c>
      <c r="C282" s="249">
        <f>'CDCM Forecast Data'!A215</f>
        <v>202</v>
      </c>
      <c r="D282" s="249">
        <f>'CDCM Forecast Data'!A216</f>
        <v>203</v>
      </c>
      <c r="E282" s="207" t="s">
        <v>224</v>
      </c>
    </row>
    <row r="284" spans="1:5" ht="15.75">
      <c r="A284" s="142" t="s">
        <v>206</v>
      </c>
    </row>
    <row r="285" spans="1:5" ht="14.25">
      <c r="A285" s="168"/>
    </row>
    <row r="286" spans="1:5">
      <c r="A286" s="26" t="s">
        <v>203</v>
      </c>
    </row>
    <row r="287" spans="1:5">
      <c r="A287" s="26" t="s">
        <v>204</v>
      </c>
    </row>
    <row r="288" spans="1:5">
      <c r="B288" s="204" t="s">
        <v>195</v>
      </c>
      <c r="C288" s="204" t="s">
        <v>196</v>
      </c>
      <c r="D288" s="204" t="s">
        <v>197</v>
      </c>
    </row>
    <row r="289" spans="1:6" ht="14.25">
      <c r="A289" s="164" t="s">
        <v>205</v>
      </c>
      <c r="B289" s="249">
        <f>'CDCM Forecast Data'!A218</f>
        <v>205</v>
      </c>
      <c r="C289" s="249">
        <f>'CDCM Forecast Data'!A219</f>
        <v>206</v>
      </c>
      <c r="D289" s="249">
        <f>'CDCM Forecast Data'!A220</f>
        <v>207</v>
      </c>
      <c r="E289" s="203" t="s">
        <v>224</v>
      </c>
    </row>
    <row r="291" spans="1:6" ht="15.75">
      <c r="A291" s="142" t="s">
        <v>207</v>
      </c>
    </row>
    <row r="292" spans="1:6" ht="14.25">
      <c r="A292" s="168"/>
    </row>
    <row r="293" spans="1:6">
      <c r="A293" s="26" t="s">
        <v>1115</v>
      </c>
    </row>
    <row r="294" spans="1:6">
      <c r="B294" s="204" t="s">
        <v>195</v>
      </c>
      <c r="C294" s="204" t="s">
        <v>196</v>
      </c>
      <c r="D294" s="204" t="s">
        <v>197</v>
      </c>
      <c r="E294" s="204" t="s">
        <v>200</v>
      </c>
    </row>
    <row r="295" spans="1:6" ht="14.25">
      <c r="A295" s="164" t="s">
        <v>22</v>
      </c>
      <c r="B295" s="249">
        <f>'CDCM Forecast Data'!A223</f>
        <v>210</v>
      </c>
      <c r="C295" s="249">
        <f>'CDCM Forecast Data'!A233</f>
        <v>220</v>
      </c>
      <c r="D295" s="249">
        <f>'CDCM Forecast Data'!A243</f>
        <v>230</v>
      </c>
      <c r="E295" s="249">
        <f>'CDCM Forecast Data'!A253</f>
        <v>240</v>
      </c>
      <c r="F295" s="203" t="s">
        <v>224</v>
      </c>
    </row>
    <row r="296" spans="1:6" ht="14.25">
      <c r="A296" s="164" t="s">
        <v>23</v>
      </c>
      <c r="B296" s="249">
        <f>'CDCM Forecast Data'!A224</f>
        <v>211</v>
      </c>
      <c r="C296" s="249">
        <f>'CDCM Forecast Data'!A234</f>
        <v>221</v>
      </c>
      <c r="D296" s="249">
        <f>'CDCM Forecast Data'!A244</f>
        <v>231</v>
      </c>
      <c r="E296" s="249">
        <f>'CDCM Forecast Data'!A254</f>
        <v>241</v>
      </c>
      <c r="F296" s="203" t="s">
        <v>224</v>
      </c>
    </row>
    <row r="297" spans="1:6" ht="14.25">
      <c r="A297" s="164" t="s">
        <v>24</v>
      </c>
      <c r="B297" s="249">
        <f>'CDCM Forecast Data'!A225</f>
        <v>212</v>
      </c>
      <c r="C297" s="249">
        <f>'CDCM Forecast Data'!A235</f>
        <v>222</v>
      </c>
      <c r="D297" s="249">
        <f>'CDCM Forecast Data'!A245</f>
        <v>232</v>
      </c>
      <c r="E297" s="249">
        <f>'CDCM Forecast Data'!A255</f>
        <v>242</v>
      </c>
      <c r="F297" s="203" t="s">
        <v>224</v>
      </c>
    </row>
    <row r="298" spans="1:6" ht="14.25">
      <c r="A298" s="164" t="s">
        <v>25</v>
      </c>
      <c r="B298" s="249">
        <f>'CDCM Forecast Data'!A226</f>
        <v>213</v>
      </c>
      <c r="C298" s="249">
        <f>'CDCM Forecast Data'!A236</f>
        <v>223</v>
      </c>
      <c r="D298" s="249">
        <f>'CDCM Forecast Data'!A246</f>
        <v>233</v>
      </c>
      <c r="E298" s="249">
        <f>'CDCM Forecast Data'!A256</f>
        <v>243</v>
      </c>
      <c r="F298" s="203" t="s">
        <v>224</v>
      </c>
    </row>
    <row r="299" spans="1:6" ht="14.25">
      <c r="A299" s="164" t="s">
        <v>26</v>
      </c>
      <c r="B299" s="249">
        <f>'CDCM Forecast Data'!A227</f>
        <v>214</v>
      </c>
      <c r="C299" s="249">
        <f>'CDCM Forecast Data'!A237</f>
        <v>224</v>
      </c>
      <c r="D299" s="249">
        <f>'CDCM Forecast Data'!A247</f>
        <v>234</v>
      </c>
      <c r="E299" s="249">
        <f>'CDCM Forecast Data'!A257</f>
        <v>244</v>
      </c>
      <c r="F299" s="203" t="s">
        <v>224</v>
      </c>
    </row>
    <row r="300" spans="1:6" ht="14.25">
      <c r="A300" s="164" t="s">
        <v>31</v>
      </c>
      <c r="B300" s="249">
        <f>'CDCM Forecast Data'!A228</f>
        <v>215</v>
      </c>
      <c r="C300" s="249">
        <f>'CDCM Forecast Data'!A238</f>
        <v>225</v>
      </c>
      <c r="D300" s="249">
        <f>'CDCM Forecast Data'!A248</f>
        <v>235</v>
      </c>
      <c r="E300" s="249">
        <f>'CDCM Forecast Data'!A258</f>
        <v>245</v>
      </c>
      <c r="F300" s="203" t="s">
        <v>224</v>
      </c>
    </row>
    <row r="301" spans="1:6" ht="14.25">
      <c r="A301" s="164" t="s">
        <v>27</v>
      </c>
      <c r="B301" s="249">
        <f>'CDCM Forecast Data'!A229</f>
        <v>216</v>
      </c>
      <c r="C301" s="249">
        <f>'CDCM Forecast Data'!A239</f>
        <v>226</v>
      </c>
      <c r="D301" s="249">
        <f>'CDCM Forecast Data'!A249</f>
        <v>236</v>
      </c>
      <c r="E301" s="249">
        <f>'CDCM Forecast Data'!A259</f>
        <v>246</v>
      </c>
      <c r="F301" s="203" t="s">
        <v>224</v>
      </c>
    </row>
    <row r="302" spans="1:6" ht="14.25">
      <c r="A302" s="164" t="s">
        <v>28</v>
      </c>
      <c r="B302" s="249">
        <f>'CDCM Forecast Data'!A230</f>
        <v>217</v>
      </c>
      <c r="C302" s="249">
        <f>'CDCM Forecast Data'!A240</f>
        <v>227</v>
      </c>
      <c r="D302" s="249">
        <f>'CDCM Forecast Data'!A250</f>
        <v>237</v>
      </c>
      <c r="E302" s="249">
        <f>'CDCM Forecast Data'!A260</f>
        <v>247</v>
      </c>
      <c r="F302" s="203" t="s">
        <v>224</v>
      </c>
    </row>
    <row r="303" spans="1:6" ht="14.25">
      <c r="A303" s="164" t="s">
        <v>29</v>
      </c>
      <c r="B303" s="249">
        <f>'CDCM Forecast Data'!A231</f>
        <v>218</v>
      </c>
      <c r="C303" s="249">
        <f>'CDCM Forecast Data'!A241</f>
        <v>228</v>
      </c>
      <c r="D303" s="249">
        <f>'CDCM Forecast Data'!A251</f>
        <v>238</v>
      </c>
      <c r="E303" s="249">
        <f>'CDCM Forecast Data'!A261</f>
        <v>248</v>
      </c>
      <c r="F303" s="203" t="s">
        <v>224</v>
      </c>
    </row>
    <row r="305" spans="1:11" ht="15.75">
      <c r="A305" s="142" t="s">
        <v>210</v>
      </c>
    </row>
    <row r="306" spans="1:11" ht="14.25">
      <c r="A306" s="205" t="s">
        <v>224</v>
      </c>
    </row>
    <row r="307" spans="1:11">
      <c r="A307" s="26" t="s">
        <v>211</v>
      </c>
    </row>
    <row r="308" spans="1:11">
      <c r="A308" s="26" t="s">
        <v>212</v>
      </c>
    </row>
    <row r="309" spans="1:11">
      <c r="B309" s="204" t="s">
        <v>22</v>
      </c>
      <c r="C309" s="204" t="s">
        <v>23</v>
      </c>
      <c r="D309" s="204" t="s">
        <v>24</v>
      </c>
      <c r="E309" s="204" t="s">
        <v>25</v>
      </c>
      <c r="F309" s="204" t="s">
        <v>26</v>
      </c>
      <c r="G309" s="204" t="s">
        <v>31</v>
      </c>
      <c r="H309" s="204" t="s">
        <v>27</v>
      </c>
      <c r="I309" s="204" t="s">
        <v>28</v>
      </c>
      <c r="J309" s="204" t="s">
        <v>29</v>
      </c>
    </row>
    <row r="310" spans="1:11" ht="14.25">
      <c r="A310" s="164" t="s">
        <v>213</v>
      </c>
      <c r="B310" s="249">
        <f>'CDCM Forecast Data'!A263</f>
        <v>250</v>
      </c>
      <c r="C310" s="249">
        <f>'CDCM Forecast Data'!A264</f>
        <v>251</v>
      </c>
      <c r="D310" s="249">
        <f>'CDCM Forecast Data'!A265</f>
        <v>252</v>
      </c>
      <c r="E310" s="249">
        <f>'CDCM Forecast Data'!A266</f>
        <v>253</v>
      </c>
      <c r="F310" s="249">
        <f>'CDCM Forecast Data'!A267</f>
        <v>254</v>
      </c>
      <c r="G310" s="249">
        <f>'CDCM Forecast Data'!A268</f>
        <v>255</v>
      </c>
      <c r="H310" s="249">
        <f>'CDCM Forecast Data'!A269</f>
        <v>256</v>
      </c>
      <c r="I310" s="249">
        <f>'CDCM Forecast Data'!A270</f>
        <v>257</v>
      </c>
      <c r="J310" s="249">
        <f>'CDCM Forecast Data'!A271</f>
        <v>258</v>
      </c>
      <c r="K310" s="203" t="s">
        <v>224</v>
      </c>
    </row>
  </sheetData>
  <dataValidations count="3">
    <dataValidation type="decimal" allowBlank="1" showInputMessage="1" showErrorMessage="1" error="Must be a non-negative percentage value." sqref="B30:B31">
      <formula1>0</formula1>
      <formula2>4</formula2>
    </dataValidation>
    <dataValidation type="decimal" allowBlank="1" showInputMessage="1" showErrorMessage="1" error="The LDNO discount must be between 0% and 100%." sqref="B75">
      <formula1>0</formula1>
      <formula2>1</formula2>
    </dataValidation>
    <dataValidation type="decimal" operator="greaterThanOrEqual" allowBlank="1" showInputMessage="1" showErrorMessage="1" sqref="B289:D289 B310:J310 B295:C303 E295:E303 C282:D282">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1"/>
  <sheetViews>
    <sheetView showGridLines="0" workbookViewId="0">
      <selection activeCell="A15" sqref="A15:K91"/>
    </sheetView>
  </sheetViews>
  <sheetFormatPr defaultColWidth="8.85546875" defaultRowHeight="15"/>
  <cols>
    <col min="1" max="1" width="50.7109375" customWidth="1"/>
    <col min="2" max="251" width="20.7109375" customWidth="1"/>
  </cols>
  <sheetData>
    <row r="1" spans="1:12" ht="21" customHeight="1">
      <c r="A1" s="1" t="str">
        <f>"Tariffs for "&amp;CDCM!B7&amp;" in "&amp;CDCM!C7&amp;" ("&amp;CDCM!D7&amp;")"</f>
        <v>Tariffs for 0 in 0 (0)</v>
      </c>
    </row>
    <row r="3" spans="1:12" ht="21" customHeight="1">
      <c r="A3" s="1" t="s">
        <v>916</v>
      </c>
    </row>
    <row r="4" spans="1:12">
      <c r="A4" s="264" t="s">
        <v>217</v>
      </c>
    </row>
    <row r="5" spans="1:12">
      <c r="A5" s="269" t="s">
        <v>917</v>
      </c>
    </row>
    <row r="6" spans="1:12">
      <c r="A6" s="269" t="s">
        <v>918</v>
      </c>
    </row>
    <row r="7" spans="1:12">
      <c r="A7" s="269" t="s">
        <v>919</v>
      </c>
    </row>
    <row r="8" spans="1:12">
      <c r="A8" s="269" t="s">
        <v>920</v>
      </c>
    </row>
    <row r="9" spans="1:12">
      <c r="A9" s="269" t="s">
        <v>921</v>
      </c>
    </row>
    <row r="10" spans="1:12">
      <c r="A10" s="269" t="s">
        <v>1512</v>
      </c>
    </row>
    <row r="11" spans="1:12">
      <c r="A11" s="269" t="s">
        <v>1513</v>
      </c>
    </row>
    <row r="12" spans="1:12">
      <c r="A12" s="270" t="s">
        <v>220</v>
      </c>
      <c r="B12" s="270" t="s">
        <v>922</v>
      </c>
      <c r="C12" s="270" t="s">
        <v>221</v>
      </c>
      <c r="D12" s="270" t="s">
        <v>276</v>
      </c>
      <c r="E12" s="270" t="s">
        <v>276</v>
      </c>
      <c r="F12" s="270" t="s">
        <v>276</v>
      </c>
      <c r="G12" s="270" t="s">
        <v>276</v>
      </c>
      <c r="H12" s="270" t="s">
        <v>276</v>
      </c>
      <c r="I12" s="270" t="s">
        <v>276</v>
      </c>
      <c r="J12" s="270" t="s">
        <v>276</v>
      </c>
      <c r="K12" s="270" t="s">
        <v>922</v>
      </c>
    </row>
    <row r="13" spans="1:12">
      <c r="A13" s="270" t="s">
        <v>223</v>
      </c>
      <c r="B13" s="270" t="s">
        <v>224</v>
      </c>
      <c r="C13" s="270" t="s">
        <v>224</v>
      </c>
      <c r="D13" s="270" t="s">
        <v>681</v>
      </c>
      <c r="E13" s="270" t="s">
        <v>279</v>
      </c>
      <c r="F13" s="270" t="s">
        <v>923</v>
      </c>
      <c r="G13" s="270" t="s">
        <v>924</v>
      </c>
      <c r="H13" s="270" t="s">
        <v>597</v>
      </c>
      <c r="I13" s="270" t="s">
        <v>925</v>
      </c>
      <c r="J13" s="270" t="s">
        <v>1514</v>
      </c>
      <c r="K13" s="270" t="s">
        <v>224</v>
      </c>
    </row>
    <row r="15" spans="1:12" ht="30">
      <c r="B15" s="284" t="s">
        <v>926</v>
      </c>
      <c r="C15" s="284" t="s">
        <v>927</v>
      </c>
      <c r="D15" s="284" t="s">
        <v>858</v>
      </c>
      <c r="E15" s="284" t="s">
        <v>859</v>
      </c>
      <c r="F15" s="284" t="s">
        <v>860</v>
      </c>
      <c r="G15" s="284" t="s">
        <v>861</v>
      </c>
      <c r="H15" s="284" t="s">
        <v>862</v>
      </c>
      <c r="I15" s="284" t="s">
        <v>1515</v>
      </c>
      <c r="J15" s="284" t="s">
        <v>720</v>
      </c>
      <c r="K15" s="284" t="s">
        <v>928</v>
      </c>
    </row>
    <row r="16" spans="1:12">
      <c r="A16" s="285" t="s">
        <v>54</v>
      </c>
      <c r="B16" s="286" t="s">
        <v>1764</v>
      </c>
      <c r="C16" s="287">
        <v>1</v>
      </c>
      <c r="D16" s="274">
        <f>CDCM!B$4381</f>
        <v>3.0219999999999998</v>
      </c>
      <c r="E16" s="274">
        <f>CDCM!C$4381</f>
        <v>0</v>
      </c>
      <c r="F16" s="274">
        <f>CDCM!D$4381</f>
        <v>0</v>
      </c>
      <c r="G16" s="279">
        <f>CDCM!E$4381</f>
        <v>5.82</v>
      </c>
      <c r="H16" s="279">
        <f>CDCM!F$4381</f>
        <v>0</v>
      </c>
      <c r="I16" s="279">
        <f>CDCM!G$4381</f>
        <v>0</v>
      </c>
      <c r="J16" s="274">
        <f>CDCM!H$4381</f>
        <v>0</v>
      </c>
      <c r="K16" s="286"/>
      <c r="L16" s="265"/>
    </row>
    <row r="17" spans="1:12">
      <c r="A17" s="285" t="s">
        <v>55</v>
      </c>
      <c r="B17" s="286" t="s">
        <v>1765</v>
      </c>
      <c r="C17" s="287">
        <v>2</v>
      </c>
      <c r="D17" s="274">
        <f>CDCM!B$4385</f>
        <v>3.4060000000000001</v>
      </c>
      <c r="E17" s="274">
        <f>CDCM!C$4385</f>
        <v>1.5940000000000001</v>
      </c>
      <c r="F17" s="274">
        <f>CDCM!D$4385</f>
        <v>0</v>
      </c>
      <c r="G17" s="279">
        <f>CDCM!E$4385</f>
        <v>5.82</v>
      </c>
      <c r="H17" s="279">
        <f>CDCM!F$4385</f>
        <v>0</v>
      </c>
      <c r="I17" s="279">
        <f>CDCM!G$4385</f>
        <v>0</v>
      </c>
      <c r="J17" s="274">
        <f>CDCM!H$4385</f>
        <v>0</v>
      </c>
      <c r="K17" s="286"/>
      <c r="L17" s="265"/>
    </row>
    <row r="18" spans="1:12">
      <c r="A18" s="285" t="s">
        <v>91</v>
      </c>
      <c r="B18" s="286">
        <v>430</v>
      </c>
      <c r="C18" s="287">
        <v>2</v>
      </c>
      <c r="D18" s="274">
        <f>CDCM!B$4389</f>
        <v>1.573</v>
      </c>
      <c r="E18" s="274">
        <f>CDCM!C$4389</f>
        <v>0</v>
      </c>
      <c r="F18" s="274">
        <f>CDCM!D$4389</f>
        <v>0</v>
      </c>
      <c r="G18" s="279">
        <f>CDCM!E$4389</f>
        <v>0</v>
      </c>
      <c r="H18" s="279">
        <f>CDCM!F$4389</f>
        <v>0</v>
      </c>
      <c r="I18" s="279">
        <f>CDCM!G$4389</f>
        <v>0</v>
      </c>
      <c r="J18" s="274">
        <f>CDCM!H$4389</f>
        <v>0</v>
      </c>
      <c r="K18" s="286"/>
      <c r="L18" s="265"/>
    </row>
    <row r="19" spans="1:12">
      <c r="A19" s="285" t="s">
        <v>56</v>
      </c>
      <c r="B19" s="286">
        <v>110</v>
      </c>
      <c r="C19" s="287">
        <v>3</v>
      </c>
      <c r="D19" s="274">
        <f>CDCM!B$4393</f>
        <v>2.7530000000000001</v>
      </c>
      <c r="E19" s="274">
        <f>CDCM!C$4393</f>
        <v>0</v>
      </c>
      <c r="F19" s="274">
        <f>CDCM!D$4393</f>
        <v>0</v>
      </c>
      <c r="G19" s="279">
        <f>CDCM!E$4393</f>
        <v>9.41</v>
      </c>
      <c r="H19" s="279">
        <f>CDCM!F$4393</f>
        <v>0</v>
      </c>
      <c r="I19" s="279">
        <f>CDCM!G$4393</f>
        <v>0</v>
      </c>
      <c r="J19" s="274">
        <f>CDCM!H$4393</f>
        <v>0</v>
      </c>
      <c r="K19" s="286"/>
      <c r="L19" s="265"/>
    </row>
    <row r="20" spans="1:12">
      <c r="A20" s="285" t="s">
        <v>57</v>
      </c>
      <c r="B20" s="286">
        <v>210</v>
      </c>
      <c r="C20" s="287">
        <v>4</v>
      </c>
      <c r="D20" s="274">
        <f>CDCM!B$4397</f>
        <v>2.98</v>
      </c>
      <c r="E20" s="274">
        <f>CDCM!C$4397</f>
        <v>1.5880000000000001</v>
      </c>
      <c r="F20" s="274">
        <f>CDCM!D$4397</f>
        <v>0</v>
      </c>
      <c r="G20" s="279">
        <f>CDCM!E$4397</f>
        <v>9.41</v>
      </c>
      <c r="H20" s="279">
        <f>CDCM!F$4397</f>
        <v>0</v>
      </c>
      <c r="I20" s="279">
        <f>CDCM!G$4397</f>
        <v>0</v>
      </c>
      <c r="J20" s="274">
        <f>CDCM!H$4397</f>
        <v>0</v>
      </c>
      <c r="K20" s="286"/>
      <c r="L20" s="265"/>
    </row>
    <row r="21" spans="1:12">
      <c r="A21" s="285" t="s">
        <v>92</v>
      </c>
      <c r="B21" s="286">
        <v>251</v>
      </c>
      <c r="C21" s="287">
        <v>4</v>
      </c>
      <c r="D21" s="274">
        <f>CDCM!B$4401</f>
        <v>1.5820000000000001</v>
      </c>
      <c r="E21" s="274">
        <f>CDCM!C$4401</f>
        <v>0</v>
      </c>
      <c r="F21" s="274">
        <f>CDCM!D$4401</f>
        <v>0</v>
      </c>
      <c r="G21" s="279">
        <f>CDCM!E$4401</f>
        <v>0</v>
      </c>
      <c r="H21" s="279">
        <f>CDCM!F$4401</f>
        <v>0</v>
      </c>
      <c r="I21" s="279">
        <f>CDCM!G$4401</f>
        <v>0</v>
      </c>
      <c r="J21" s="274">
        <f>CDCM!H$4401</f>
        <v>0</v>
      </c>
      <c r="K21" s="286"/>
      <c r="L21" s="265"/>
    </row>
    <row r="22" spans="1:12">
      <c r="A22" s="285" t="s">
        <v>58</v>
      </c>
      <c r="B22" s="286">
        <v>570</v>
      </c>
      <c r="C22" s="287" t="s">
        <v>929</v>
      </c>
      <c r="D22" s="274">
        <f>CDCM!B$4405</f>
        <v>2.82</v>
      </c>
      <c r="E22" s="274">
        <f>CDCM!C$4405</f>
        <v>1.5589999999999999</v>
      </c>
      <c r="F22" s="274">
        <f>CDCM!D$4405</f>
        <v>0</v>
      </c>
      <c r="G22" s="279">
        <f>CDCM!E$4405</f>
        <v>41.8</v>
      </c>
      <c r="H22" s="279">
        <f>CDCM!F$4405</f>
        <v>0</v>
      </c>
      <c r="I22" s="279">
        <f>CDCM!G$4405</f>
        <v>0</v>
      </c>
      <c r="J22" s="274">
        <f>CDCM!H$4405</f>
        <v>0</v>
      </c>
      <c r="K22" s="286"/>
      <c r="L22" s="265"/>
    </row>
    <row r="23" spans="1:12">
      <c r="A23" s="285" t="s">
        <v>59</v>
      </c>
      <c r="B23" s="286">
        <v>540</v>
      </c>
      <c r="C23" s="287" t="s">
        <v>929</v>
      </c>
      <c r="D23" s="274">
        <f>CDCM!B$4409</f>
        <v>2.6760000000000002</v>
      </c>
      <c r="E23" s="274">
        <f>CDCM!C$4409</f>
        <v>1.5449999999999999</v>
      </c>
      <c r="F23" s="274">
        <f>CDCM!D$4409</f>
        <v>0</v>
      </c>
      <c r="G23" s="279">
        <f>CDCM!E$4409</f>
        <v>28.97</v>
      </c>
      <c r="H23" s="279">
        <f>CDCM!F$4409</f>
        <v>0</v>
      </c>
      <c r="I23" s="279">
        <f>CDCM!G$4409</f>
        <v>0</v>
      </c>
      <c r="J23" s="274">
        <f>CDCM!H$4409</f>
        <v>0</v>
      </c>
      <c r="K23" s="286"/>
      <c r="L23" s="265"/>
    </row>
    <row r="24" spans="1:12">
      <c r="A24" s="285" t="s">
        <v>72</v>
      </c>
      <c r="B24" s="286">
        <v>510</v>
      </c>
      <c r="C24" s="287" t="s">
        <v>929</v>
      </c>
      <c r="D24" s="274">
        <f>CDCM!B$4411</f>
        <v>2.1619999999999999</v>
      </c>
      <c r="E24" s="274">
        <f>CDCM!C$4411</f>
        <v>1.484</v>
      </c>
      <c r="F24" s="274">
        <f>CDCM!D$4411</f>
        <v>0</v>
      </c>
      <c r="G24" s="279">
        <f>CDCM!E$4411</f>
        <v>194.36</v>
      </c>
      <c r="H24" s="279">
        <f>CDCM!F$4411</f>
        <v>0</v>
      </c>
      <c r="I24" s="279">
        <f>CDCM!G$4411</f>
        <v>0</v>
      </c>
      <c r="J24" s="274">
        <f>CDCM!H$4411</f>
        <v>0</v>
      </c>
      <c r="K24" s="286"/>
      <c r="L24" s="265"/>
    </row>
    <row r="25" spans="1:12">
      <c r="A25" s="285" t="s">
        <v>1178</v>
      </c>
      <c r="B25" s="286">
        <v>202</v>
      </c>
      <c r="C25" s="287"/>
      <c r="D25" s="274">
        <f>CDCM!B$4413</f>
        <v>15.699</v>
      </c>
      <c r="E25" s="274">
        <f>CDCM!C$4413</f>
        <v>2.0129999999999999</v>
      </c>
      <c r="F25" s="274">
        <f>CDCM!D$4413</f>
        <v>1.579</v>
      </c>
      <c r="G25" s="279">
        <f>CDCM!E$4413</f>
        <v>5.82</v>
      </c>
      <c r="H25" s="279">
        <f>CDCM!F$4413</f>
        <v>0</v>
      </c>
      <c r="I25" s="279">
        <f>CDCM!G$4413</f>
        <v>0</v>
      </c>
      <c r="J25" s="274">
        <f>CDCM!H$4413</f>
        <v>0</v>
      </c>
      <c r="K25" s="286"/>
      <c r="L25" s="265"/>
    </row>
    <row r="26" spans="1:12">
      <c r="A26" s="285" t="s">
        <v>1177</v>
      </c>
      <c r="B26" s="286">
        <v>203</v>
      </c>
      <c r="C26" s="287"/>
      <c r="D26" s="274">
        <f>CDCM!B$4417</f>
        <v>15.981999999999999</v>
      </c>
      <c r="E26" s="274">
        <f>CDCM!C$4417</f>
        <v>2.024</v>
      </c>
      <c r="F26" s="274">
        <f>CDCM!D$4417</f>
        <v>1.5820000000000001</v>
      </c>
      <c r="G26" s="279">
        <f>CDCM!E$4417</f>
        <v>9.41</v>
      </c>
      <c r="H26" s="279">
        <f>CDCM!F$4417</f>
        <v>0</v>
      </c>
      <c r="I26" s="279">
        <f>CDCM!G$4417</f>
        <v>0</v>
      </c>
      <c r="J26" s="274">
        <f>CDCM!H$4417</f>
        <v>0</v>
      </c>
      <c r="K26" s="286"/>
      <c r="L26" s="265"/>
    </row>
    <row r="27" spans="1:12">
      <c r="A27" s="285" t="s">
        <v>60</v>
      </c>
      <c r="B27" s="286">
        <v>570</v>
      </c>
      <c r="C27" s="287"/>
      <c r="D27" s="274">
        <f>CDCM!B$4421</f>
        <v>11.659000000000001</v>
      </c>
      <c r="E27" s="274">
        <f>CDCM!C$4421</f>
        <v>1.8</v>
      </c>
      <c r="F27" s="274">
        <f>CDCM!D$4421</f>
        <v>1.5289999999999999</v>
      </c>
      <c r="G27" s="279">
        <f>CDCM!E$4421</f>
        <v>13.27</v>
      </c>
      <c r="H27" s="279">
        <f>CDCM!F$4421</f>
        <v>3.43</v>
      </c>
      <c r="I27" s="279">
        <f>CDCM!G$4421</f>
        <v>7.83</v>
      </c>
      <c r="J27" s="274">
        <f>CDCM!H$4421</f>
        <v>0.17100000000000001</v>
      </c>
      <c r="K27" s="286"/>
      <c r="L27" s="265"/>
    </row>
    <row r="28" spans="1:12">
      <c r="A28" s="285" t="s">
        <v>61</v>
      </c>
      <c r="B28" s="286">
        <v>540</v>
      </c>
      <c r="C28" s="287"/>
      <c r="D28" s="274">
        <f>CDCM!B$4425</f>
        <v>9.3650000000000002</v>
      </c>
      <c r="E28" s="274">
        <f>CDCM!C$4425</f>
        <v>1.6459999999999999</v>
      </c>
      <c r="F28" s="274">
        <f>CDCM!D$4425</f>
        <v>1.496</v>
      </c>
      <c r="G28" s="279">
        <f>CDCM!E$4425</f>
        <v>10.220000000000001</v>
      </c>
      <c r="H28" s="279">
        <f>CDCM!F$4425</f>
        <v>3.68</v>
      </c>
      <c r="I28" s="279">
        <f>CDCM!G$4425</f>
        <v>7.57</v>
      </c>
      <c r="J28" s="274">
        <f>CDCM!H$4425</f>
        <v>0.121</v>
      </c>
      <c r="K28" s="286"/>
      <c r="L28" s="265"/>
    </row>
    <row r="29" spans="1:12">
      <c r="A29" s="285" t="s">
        <v>73</v>
      </c>
      <c r="B29" s="286">
        <v>510</v>
      </c>
      <c r="C29" s="287"/>
      <c r="D29" s="274">
        <f>CDCM!B$4428</f>
        <v>7.3120000000000003</v>
      </c>
      <c r="E29" s="274">
        <f>CDCM!C$4428</f>
        <v>1.536</v>
      </c>
      <c r="F29" s="274">
        <f>CDCM!D$4428</f>
        <v>1.47</v>
      </c>
      <c r="G29" s="279">
        <f>CDCM!E$4428</f>
        <v>101.43</v>
      </c>
      <c r="H29" s="279">
        <f>CDCM!F$4428</f>
        <v>3.13</v>
      </c>
      <c r="I29" s="279">
        <f>CDCM!G$4428</f>
        <v>7.68</v>
      </c>
      <c r="J29" s="274">
        <f>CDCM!H$4428</f>
        <v>8.1000000000000003E-2</v>
      </c>
      <c r="K29" s="286"/>
      <c r="L29" s="265"/>
    </row>
    <row r="30" spans="1:12">
      <c r="A30" s="285" t="s">
        <v>93</v>
      </c>
      <c r="B30" s="286">
        <v>977</v>
      </c>
      <c r="C30" s="287">
        <v>8</v>
      </c>
      <c r="D30" s="274">
        <f>CDCM!B$4431</f>
        <v>3.331</v>
      </c>
      <c r="E30" s="274">
        <f>CDCM!C$4431</f>
        <v>0</v>
      </c>
      <c r="F30" s="274">
        <f>CDCM!D$4431</f>
        <v>0</v>
      </c>
      <c r="G30" s="279">
        <f>CDCM!E$4431</f>
        <v>0</v>
      </c>
      <c r="H30" s="279">
        <f>CDCM!F$4431</f>
        <v>0</v>
      </c>
      <c r="I30" s="279">
        <f>CDCM!G$4431</f>
        <v>0</v>
      </c>
      <c r="J30" s="274">
        <f>CDCM!H$4431</f>
        <v>0</v>
      </c>
      <c r="K30" s="286"/>
      <c r="L30" s="265"/>
    </row>
    <row r="31" spans="1:12">
      <c r="A31" s="285" t="s">
        <v>94</v>
      </c>
      <c r="B31" s="286">
        <v>980</v>
      </c>
      <c r="C31" s="287">
        <v>1</v>
      </c>
      <c r="D31" s="274">
        <f>CDCM!B$4435</f>
        <v>3.7519999999999998</v>
      </c>
      <c r="E31" s="274">
        <f>CDCM!C$4435</f>
        <v>0</v>
      </c>
      <c r="F31" s="274">
        <f>CDCM!D$4435</f>
        <v>0</v>
      </c>
      <c r="G31" s="279">
        <f>CDCM!E$4435</f>
        <v>0</v>
      </c>
      <c r="H31" s="279">
        <f>CDCM!F$4435</f>
        <v>0</v>
      </c>
      <c r="I31" s="279">
        <f>CDCM!G$4435</f>
        <v>0</v>
      </c>
      <c r="J31" s="274">
        <f>CDCM!H$4435</f>
        <v>0</v>
      </c>
      <c r="K31" s="286"/>
      <c r="L31" s="265"/>
    </row>
    <row r="32" spans="1:12">
      <c r="A32" s="285" t="s">
        <v>95</v>
      </c>
      <c r="B32" s="286">
        <v>978</v>
      </c>
      <c r="C32" s="287">
        <v>1</v>
      </c>
      <c r="D32" s="274">
        <f>CDCM!B$4439</f>
        <v>4.7409999999999997</v>
      </c>
      <c r="E32" s="274">
        <f>CDCM!C$4439</f>
        <v>0</v>
      </c>
      <c r="F32" s="274">
        <f>CDCM!D$4439</f>
        <v>0</v>
      </c>
      <c r="G32" s="279">
        <f>CDCM!E$4439</f>
        <v>0</v>
      </c>
      <c r="H32" s="279">
        <f>CDCM!F$4439</f>
        <v>0</v>
      </c>
      <c r="I32" s="279">
        <f>CDCM!G$4439</f>
        <v>0</v>
      </c>
      <c r="J32" s="274">
        <f>CDCM!H$4439</f>
        <v>0</v>
      </c>
      <c r="K32" s="286"/>
      <c r="L32" s="265"/>
    </row>
    <row r="33" spans="1:12">
      <c r="A33" s="285" t="s">
        <v>96</v>
      </c>
      <c r="B33" s="286">
        <v>979</v>
      </c>
      <c r="C33" s="287">
        <v>1</v>
      </c>
      <c r="D33" s="274">
        <f>CDCM!B$4443</f>
        <v>2.9220000000000002</v>
      </c>
      <c r="E33" s="274">
        <f>CDCM!C$4443</f>
        <v>0</v>
      </c>
      <c r="F33" s="274">
        <f>CDCM!D$4443</f>
        <v>0</v>
      </c>
      <c r="G33" s="279">
        <f>CDCM!E$4443</f>
        <v>0</v>
      </c>
      <c r="H33" s="279">
        <f>CDCM!F$4443</f>
        <v>0</v>
      </c>
      <c r="I33" s="279">
        <f>CDCM!G$4443</f>
        <v>0</v>
      </c>
      <c r="J33" s="274">
        <f>CDCM!H$4443</f>
        <v>0</v>
      </c>
      <c r="K33" s="286"/>
      <c r="L33" s="265"/>
    </row>
    <row r="34" spans="1:12">
      <c r="A34" s="285" t="s">
        <v>97</v>
      </c>
      <c r="B34" s="286">
        <v>970</v>
      </c>
      <c r="C34" s="287"/>
      <c r="D34" s="274">
        <f>CDCM!B$4447</f>
        <v>38.238999999999997</v>
      </c>
      <c r="E34" s="274">
        <f>CDCM!C$4447</f>
        <v>2.976</v>
      </c>
      <c r="F34" s="274">
        <f>CDCM!D$4447</f>
        <v>2.5070000000000001</v>
      </c>
      <c r="G34" s="279">
        <f>CDCM!E$4447</f>
        <v>0</v>
      </c>
      <c r="H34" s="279">
        <f>CDCM!F$4447</f>
        <v>0</v>
      </c>
      <c r="I34" s="279">
        <f>CDCM!G$4447</f>
        <v>0</v>
      </c>
      <c r="J34" s="274">
        <f>CDCM!H$4447</f>
        <v>0</v>
      </c>
      <c r="K34" s="286"/>
      <c r="L34" s="265"/>
    </row>
    <row r="35" spans="1:12">
      <c r="A35" s="285" t="s">
        <v>1176</v>
      </c>
      <c r="B35" s="286">
        <v>581</v>
      </c>
      <c r="C35" s="287" t="s">
        <v>1169</v>
      </c>
      <c r="D35" s="274">
        <f>CDCM!B$4451</f>
        <v>-0.78700000000000003</v>
      </c>
      <c r="E35" s="274">
        <f>CDCM!C$4451</f>
        <v>0</v>
      </c>
      <c r="F35" s="274">
        <f>CDCM!D$4451</f>
        <v>0</v>
      </c>
      <c r="G35" s="279">
        <f>CDCM!E$4451</f>
        <v>0</v>
      </c>
      <c r="H35" s="279">
        <f>CDCM!F$4451</f>
        <v>0</v>
      </c>
      <c r="I35" s="279">
        <f>CDCM!G$4451</f>
        <v>0</v>
      </c>
      <c r="J35" s="274">
        <f>CDCM!H$4451</f>
        <v>0</v>
      </c>
      <c r="K35" s="286"/>
      <c r="L35" s="265"/>
    </row>
    <row r="36" spans="1:12">
      <c r="A36" s="285" t="s">
        <v>62</v>
      </c>
      <c r="B36" s="286">
        <v>551</v>
      </c>
      <c r="C36" s="287">
        <v>8</v>
      </c>
      <c r="D36" s="274">
        <f>CDCM!B$4455</f>
        <v>-0.71199999999999997</v>
      </c>
      <c r="E36" s="274">
        <f>CDCM!C$4455</f>
        <v>0</v>
      </c>
      <c r="F36" s="274">
        <f>CDCM!D$4455</f>
        <v>0</v>
      </c>
      <c r="G36" s="279">
        <f>CDCM!E$4455</f>
        <v>0</v>
      </c>
      <c r="H36" s="279">
        <f>CDCM!F$4455</f>
        <v>0</v>
      </c>
      <c r="I36" s="279">
        <f>CDCM!G$4455</f>
        <v>0</v>
      </c>
      <c r="J36" s="274">
        <f>CDCM!H$4455</f>
        <v>0</v>
      </c>
      <c r="K36" s="286"/>
      <c r="L36" s="265"/>
    </row>
    <row r="37" spans="1:12">
      <c r="A37" s="285" t="s">
        <v>63</v>
      </c>
      <c r="B37" s="286">
        <v>581</v>
      </c>
      <c r="C37" s="287"/>
      <c r="D37" s="274">
        <f>CDCM!B$4458</f>
        <v>-0.78700000000000003</v>
      </c>
      <c r="E37" s="274">
        <f>CDCM!C$4458</f>
        <v>0</v>
      </c>
      <c r="F37" s="274">
        <f>CDCM!D$4458</f>
        <v>0</v>
      </c>
      <c r="G37" s="279">
        <f>CDCM!E$4458</f>
        <v>0</v>
      </c>
      <c r="H37" s="279">
        <f>CDCM!F$4458</f>
        <v>0</v>
      </c>
      <c r="I37" s="279">
        <f>CDCM!G$4458</f>
        <v>0</v>
      </c>
      <c r="J37" s="274">
        <f>CDCM!H$4458</f>
        <v>0.17</v>
      </c>
      <c r="K37" s="286"/>
      <c r="L37" s="265"/>
    </row>
    <row r="38" spans="1:12">
      <c r="A38" s="285" t="s">
        <v>1516</v>
      </c>
      <c r="B38" s="286" t="s">
        <v>1766</v>
      </c>
      <c r="C38" s="287"/>
      <c r="D38" s="274">
        <f>CDCM!B$4462</f>
        <v>-0.78700000000000003</v>
      </c>
      <c r="E38" s="274">
        <f>CDCM!C$4462</f>
        <v>0</v>
      </c>
      <c r="F38" s="274">
        <f>CDCM!D$4462</f>
        <v>0</v>
      </c>
      <c r="G38" s="279">
        <f>CDCM!E$4462</f>
        <v>0</v>
      </c>
      <c r="H38" s="279">
        <f>CDCM!F$4462</f>
        <v>0</v>
      </c>
      <c r="I38" s="279">
        <f>CDCM!G$4462</f>
        <v>0</v>
      </c>
      <c r="J38" s="274">
        <f>CDCM!H$4462</f>
        <v>0</v>
      </c>
      <c r="K38" s="286"/>
      <c r="L38" s="265"/>
    </row>
    <row r="39" spans="1:12">
      <c r="A39" s="285" t="s">
        <v>64</v>
      </c>
      <c r="B39" s="286">
        <v>527</v>
      </c>
      <c r="C39" s="287"/>
      <c r="D39" s="274">
        <f>CDCM!B$4464</f>
        <v>-9.6340000000000003</v>
      </c>
      <c r="E39" s="274">
        <f>CDCM!C$4464</f>
        <v>-0.39700000000000002</v>
      </c>
      <c r="F39" s="274">
        <f>CDCM!D$4464</f>
        <v>-0.104</v>
      </c>
      <c r="G39" s="279">
        <f>CDCM!E$4464</f>
        <v>0</v>
      </c>
      <c r="H39" s="279">
        <f>CDCM!F$4464</f>
        <v>0</v>
      </c>
      <c r="I39" s="279">
        <f>CDCM!G$4464</f>
        <v>0</v>
      </c>
      <c r="J39" s="274">
        <f>CDCM!H$4464</f>
        <v>0.17</v>
      </c>
      <c r="K39" s="286"/>
      <c r="L39" s="265"/>
    </row>
    <row r="40" spans="1:12">
      <c r="A40" s="285" t="s">
        <v>1517</v>
      </c>
      <c r="B40" s="286" t="s">
        <v>1766</v>
      </c>
      <c r="C40" s="287"/>
      <c r="D40" s="274">
        <f>CDCM!B$4468</f>
        <v>-9.6340000000000003</v>
      </c>
      <c r="E40" s="274">
        <f>CDCM!C$4468</f>
        <v>-0.39700000000000002</v>
      </c>
      <c r="F40" s="274">
        <f>CDCM!D$4468</f>
        <v>-0.104</v>
      </c>
      <c r="G40" s="279">
        <f>CDCM!E$4468</f>
        <v>0</v>
      </c>
      <c r="H40" s="279">
        <f>CDCM!F$4468</f>
        <v>0</v>
      </c>
      <c r="I40" s="279">
        <f>CDCM!G$4468</f>
        <v>0</v>
      </c>
      <c r="J40" s="274">
        <f>CDCM!H$4468</f>
        <v>0</v>
      </c>
      <c r="K40" s="286"/>
      <c r="L40" s="265"/>
    </row>
    <row r="41" spans="1:12">
      <c r="A41" s="285" t="s">
        <v>65</v>
      </c>
      <c r="B41" s="286">
        <v>551</v>
      </c>
      <c r="C41" s="287"/>
      <c r="D41" s="274">
        <f>CDCM!B$4470</f>
        <v>-0.71199999999999997</v>
      </c>
      <c r="E41" s="274">
        <f>CDCM!C$4470</f>
        <v>0</v>
      </c>
      <c r="F41" s="274">
        <f>CDCM!D$4470</f>
        <v>0</v>
      </c>
      <c r="G41" s="279">
        <f>CDCM!E$4470</f>
        <v>0</v>
      </c>
      <c r="H41" s="279">
        <f>CDCM!F$4470</f>
        <v>0</v>
      </c>
      <c r="I41" s="279">
        <f>CDCM!G$4470</f>
        <v>0</v>
      </c>
      <c r="J41" s="274">
        <f>CDCM!H$4470</f>
        <v>0.14199999999999999</v>
      </c>
      <c r="K41" s="286"/>
      <c r="L41" s="265"/>
    </row>
    <row r="42" spans="1:12">
      <c r="A42" s="285" t="s">
        <v>1518</v>
      </c>
      <c r="B42" s="286" t="s">
        <v>1766</v>
      </c>
      <c r="C42" s="287"/>
      <c r="D42" s="274">
        <f>CDCM!B$4473</f>
        <v>-0.71199999999999997</v>
      </c>
      <c r="E42" s="274">
        <f>CDCM!C$4473</f>
        <v>0</v>
      </c>
      <c r="F42" s="274">
        <f>CDCM!D$4473</f>
        <v>0</v>
      </c>
      <c r="G42" s="279">
        <f>CDCM!E$4473</f>
        <v>0</v>
      </c>
      <c r="H42" s="279">
        <f>CDCM!F$4473</f>
        <v>0</v>
      </c>
      <c r="I42" s="279">
        <f>CDCM!G$4473</f>
        <v>0</v>
      </c>
      <c r="J42" s="274">
        <f>CDCM!H$4473</f>
        <v>0</v>
      </c>
      <c r="K42" s="286"/>
      <c r="L42" s="265"/>
    </row>
    <row r="43" spans="1:12">
      <c r="A43" s="285" t="s">
        <v>66</v>
      </c>
      <c r="B43" s="286">
        <v>526</v>
      </c>
      <c r="C43" s="287"/>
      <c r="D43" s="274">
        <f>CDCM!B$4475</f>
        <v>-8.8510000000000009</v>
      </c>
      <c r="E43" s="274">
        <f>CDCM!C$4475</f>
        <v>-0.34</v>
      </c>
      <c r="F43" s="274">
        <f>CDCM!D$4475</f>
        <v>-9.1999999999999998E-2</v>
      </c>
      <c r="G43" s="279">
        <f>CDCM!E$4475</f>
        <v>0</v>
      </c>
      <c r="H43" s="279">
        <f>CDCM!F$4475</f>
        <v>0</v>
      </c>
      <c r="I43" s="279">
        <f>CDCM!G$4475</f>
        <v>0</v>
      </c>
      <c r="J43" s="274">
        <f>CDCM!H$4475</f>
        <v>0.14199999999999999</v>
      </c>
      <c r="K43" s="286"/>
      <c r="L43" s="265"/>
    </row>
    <row r="44" spans="1:12">
      <c r="A44" s="285" t="s">
        <v>1519</v>
      </c>
      <c r="B44" s="286" t="s">
        <v>1766</v>
      </c>
      <c r="C44" s="287"/>
      <c r="D44" s="274">
        <f>CDCM!B$4478</f>
        <v>-8.8510000000000009</v>
      </c>
      <c r="E44" s="274">
        <f>CDCM!C$4478</f>
        <v>-0.34</v>
      </c>
      <c r="F44" s="274">
        <f>CDCM!D$4478</f>
        <v>-9.1999999999999998E-2</v>
      </c>
      <c r="G44" s="279">
        <f>CDCM!E$4478</f>
        <v>0</v>
      </c>
      <c r="H44" s="279">
        <f>CDCM!F$4478</f>
        <v>0</v>
      </c>
      <c r="I44" s="279">
        <f>CDCM!G$4478</f>
        <v>0</v>
      </c>
      <c r="J44" s="274">
        <f>CDCM!H$4478</f>
        <v>0</v>
      </c>
      <c r="K44" s="286"/>
      <c r="L44" s="265"/>
    </row>
    <row r="45" spans="1:12">
      <c r="A45" s="285" t="s">
        <v>74</v>
      </c>
      <c r="B45" s="286">
        <v>521</v>
      </c>
      <c r="C45" s="287"/>
      <c r="D45" s="274">
        <f>CDCM!B$4480</f>
        <v>-0.45400000000000001</v>
      </c>
      <c r="E45" s="274">
        <f>CDCM!C$4480</f>
        <v>0</v>
      </c>
      <c r="F45" s="274">
        <f>CDCM!D$4480</f>
        <v>0</v>
      </c>
      <c r="G45" s="279">
        <f>CDCM!E$4480</f>
        <v>48.9</v>
      </c>
      <c r="H45" s="279">
        <f>CDCM!F$4480</f>
        <v>0</v>
      </c>
      <c r="I45" s="279">
        <f>CDCM!G$4480</f>
        <v>0</v>
      </c>
      <c r="J45" s="274">
        <f>CDCM!H$4480</f>
        <v>0.109</v>
      </c>
      <c r="K45" s="286"/>
      <c r="L45" s="265"/>
    </row>
    <row r="46" spans="1:12">
      <c r="A46" s="285" t="s">
        <v>1520</v>
      </c>
      <c r="B46" s="286" t="s">
        <v>1766</v>
      </c>
      <c r="C46" s="287"/>
      <c r="D46" s="274">
        <f>CDCM!B$4483</f>
        <v>-0.45400000000000001</v>
      </c>
      <c r="E46" s="274">
        <f>CDCM!C$4483</f>
        <v>0</v>
      </c>
      <c r="F46" s="274">
        <f>CDCM!D$4483</f>
        <v>0</v>
      </c>
      <c r="G46" s="279">
        <f>CDCM!E$4483</f>
        <v>48.9</v>
      </c>
      <c r="H46" s="279">
        <f>CDCM!F$4483</f>
        <v>0</v>
      </c>
      <c r="I46" s="279">
        <f>CDCM!G$4483</f>
        <v>0</v>
      </c>
      <c r="J46" s="274">
        <f>CDCM!H$4483</f>
        <v>0</v>
      </c>
      <c r="K46" s="286"/>
      <c r="L46" s="265"/>
    </row>
    <row r="47" spans="1:12">
      <c r="A47" s="285" t="s">
        <v>75</v>
      </c>
      <c r="B47" s="286">
        <v>524</v>
      </c>
      <c r="C47" s="287"/>
      <c r="D47" s="274">
        <f>CDCM!B$4485</f>
        <v>-6.157</v>
      </c>
      <c r="E47" s="274">
        <f>CDCM!C$4485</f>
        <v>-0.14799999999999999</v>
      </c>
      <c r="F47" s="274">
        <f>CDCM!D$4485</f>
        <v>-5.1999999999999998E-2</v>
      </c>
      <c r="G47" s="279">
        <f>CDCM!E$4485</f>
        <v>48.9</v>
      </c>
      <c r="H47" s="279">
        <f>CDCM!F$4485</f>
        <v>0</v>
      </c>
      <c r="I47" s="279">
        <f>CDCM!G$4485</f>
        <v>0</v>
      </c>
      <c r="J47" s="274">
        <f>CDCM!H$4485</f>
        <v>0.109</v>
      </c>
      <c r="K47" s="286"/>
      <c r="L47" s="265"/>
    </row>
    <row r="48" spans="1:12">
      <c r="A48" s="285" t="s">
        <v>1521</v>
      </c>
      <c r="B48" s="286" t="s">
        <v>1766</v>
      </c>
      <c r="C48" s="287"/>
      <c r="D48" s="274">
        <f>CDCM!B$4488</f>
        <v>-6.157</v>
      </c>
      <c r="E48" s="274">
        <f>CDCM!C$4488</f>
        <v>-0.14799999999999999</v>
      </c>
      <c r="F48" s="274">
        <f>CDCM!D$4488</f>
        <v>-5.1999999999999998E-2</v>
      </c>
      <c r="G48" s="279">
        <f>CDCM!E$4488</f>
        <v>48.9</v>
      </c>
      <c r="H48" s="279">
        <f>CDCM!F$4488</f>
        <v>0</v>
      </c>
      <c r="I48" s="279">
        <f>CDCM!G$4488</f>
        <v>0</v>
      </c>
      <c r="J48" s="274">
        <f>CDCM!H$4488</f>
        <v>0</v>
      </c>
      <c r="K48" s="286"/>
      <c r="L48" s="265"/>
    </row>
    <row r="49" spans="1:12">
      <c r="A49" s="285" t="s">
        <v>109</v>
      </c>
      <c r="B49" s="286">
        <v>20300</v>
      </c>
      <c r="C49" s="287">
        <v>1</v>
      </c>
      <c r="D49" s="274">
        <f>CDCM!B$4382</f>
        <v>1.8959999999999999</v>
      </c>
      <c r="E49" s="274">
        <f>CDCM!C$4382</f>
        <v>0</v>
      </c>
      <c r="F49" s="274">
        <f>CDCM!D$4382</f>
        <v>0</v>
      </c>
      <c r="G49" s="279">
        <f>CDCM!E$4382</f>
        <v>3.65</v>
      </c>
      <c r="H49" s="279">
        <f>CDCM!F$4382</f>
        <v>0</v>
      </c>
      <c r="I49" s="279">
        <f>CDCM!G$4382</f>
        <v>0</v>
      </c>
      <c r="J49" s="274">
        <f>CDCM!H$4382</f>
        <v>0</v>
      </c>
      <c r="K49" s="286"/>
      <c r="L49" s="265"/>
    </row>
    <row r="50" spans="1:12">
      <c r="A50" s="285" t="s">
        <v>112</v>
      </c>
      <c r="B50" s="286">
        <v>20301</v>
      </c>
      <c r="C50" s="287">
        <v>2</v>
      </c>
      <c r="D50" s="274">
        <f>CDCM!B$4386</f>
        <v>2.137</v>
      </c>
      <c r="E50" s="274">
        <f>CDCM!C$4386</f>
        <v>1</v>
      </c>
      <c r="F50" s="274">
        <f>CDCM!D$4386</f>
        <v>0</v>
      </c>
      <c r="G50" s="279">
        <f>CDCM!E$4386</f>
        <v>3.65</v>
      </c>
      <c r="H50" s="279">
        <f>CDCM!F$4386</f>
        <v>0</v>
      </c>
      <c r="I50" s="279">
        <f>CDCM!G$4386</f>
        <v>0</v>
      </c>
      <c r="J50" s="274">
        <f>CDCM!H$4386</f>
        <v>0</v>
      </c>
      <c r="K50" s="286"/>
      <c r="L50" s="265"/>
    </row>
    <row r="51" spans="1:12">
      <c r="A51" s="285" t="s">
        <v>115</v>
      </c>
      <c r="B51" s="286">
        <v>20302</v>
      </c>
      <c r="C51" s="287">
        <v>2</v>
      </c>
      <c r="D51" s="274">
        <f>CDCM!B$4390</f>
        <v>0.98699999999999999</v>
      </c>
      <c r="E51" s="274">
        <f>CDCM!C$4390</f>
        <v>0</v>
      </c>
      <c r="F51" s="274">
        <f>CDCM!D$4390</f>
        <v>0</v>
      </c>
      <c r="G51" s="279">
        <f>CDCM!E$4390</f>
        <v>0</v>
      </c>
      <c r="H51" s="279">
        <f>CDCM!F$4390</f>
        <v>0</v>
      </c>
      <c r="I51" s="279">
        <f>CDCM!G$4390</f>
        <v>0</v>
      </c>
      <c r="J51" s="274">
        <f>CDCM!H$4390</f>
        <v>0</v>
      </c>
      <c r="K51" s="286"/>
      <c r="L51" s="265"/>
    </row>
    <row r="52" spans="1:12">
      <c r="A52" s="285" t="s">
        <v>118</v>
      </c>
      <c r="B52" s="286">
        <v>20303</v>
      </c>
      <c r="C52" s="287">
        <v>3</v>
      </c>
      <c r="D52" s="274">
        <f>CDCM!B$4394</f>
        <v>1.7270000000000001</v>
      </c>
      <c r="E52" s="274">
        <f>CDCM!C$4394</f>
        <v>0</v>
      </c>
      <c r="F52" s="274">
        <f>CDCM!D$4394</f>
        <v>0</v>
      </c>
      <c r="G52" s="279">
        <f>CDCM!E$4394</f>
        <v>5.9</v>
      </c>
      <c r="H52" s="279">
        <f>CDCM!F$4394</f>
        <v>0</v>
      </c>
      <c r="I52" s="279">
        <f>CDCM!G$4394</f>
        <v>0</v>
      </c>
      <c r="J52" s="274">
        <f>CDCM!H$4394</f>
        <v>0</v>
      </c>
      <c r="K52" s="286"/>
      <c r="L52" s="265"/>
    </row>
    <row r="53" spans="1:12">
      <c r="A53" s="285" t="s">
        <v>121</v>
      </c>
      <c r="B53" s="286">
        <v>20304</v>
      </c>
      <c r="C53" s="287">
        <v>4</v>
      </c>
      <c r="D53" s="274">
        <f>CDCM!B$4398</f>
        <v>1.869</v>
      </c>
      <c r="E53" s="274">
        <f>CDCM!C$4398</f>
        <v>0.996</v>
      </c>
      <c r="F53" s="274">
        <f>CDCM!D$4398</f>
        <v>0</v>
      </c>
      <c r="G53" s="279">
        <f>CDCM!E$4398</f>
        <v>5.9</v>
      </c>
      <c r="H53" s="279">
        <f>CDCM!F$4398</f>
        <v>0</v>
      </c>
      <c r="I53" s="279">
        <f>CDCM!G$4398</f>
        <v>0</v>
      </c>
      <c r="J53" s="274">
        <f>CDCM!H$4398</f>
        <v>0</v>
      </c>
      <c r="K53" s="286"/>
      <c r="L53" s="265"/>
    </row>
    <row r="54" spans="1:12" ht="30">
      <c r="A54" s="285" t="s">
        <v>124</v>
      </c>
      <c r="B54" s="286">
        <v>20305</v>
      </c>
      <c r="C54" s="287">
        <v>4</v>
      </c>
      <c r="D54" s="274">
        <f>CDCM!B$4402</f>
        <v>0.99199999999999999</v>
      </c>
      <c r="E54" s="274">
        <f>CDCM!C$4402</f>
        <v>0</v>
      </c>
      <c r="F54" s="274">
        <f>CDCM!D$4402</f>
        <v>0</v>
      </c>
      <c r="G54" s="279">
        <f>CDCM!E$4402</f>
        <v>0</v>
      </c>
      <c r="H54" s="279">
        <f>CDCM!F$4402</f>
        <v>0</v>
      </c>
      <c r="I54" s="279">
        <f>CDCM!G$4402</f>
        <v>0</v>
      </c>
      <c r="J54" s="274">
        <f>CDCM!H$4402</f>
        <v>0</v>
      </c>
      <c r="K54" s="286"/>
      <c r="L54" s="265"/>
    </row>
    <row r="55" spans="1:12">
      <c r="A55" s="285" t="s">
        <v>127</v>
      </c>
      <c r="B55" s="286">
        <v>20306</v>
      </c>
      <c r="C55" s="287" t="s">
        <v>929</v>
      </c>
      <c r="D55" s="274">
        <f>CDCM!B$4406</f>
        <v>1.7689999999999999</v>
      </c>
      <c r="E55" s="274">
        <f>CDCM!C$4406</f>
        <v>0.97799999999999998</v>
      </c>
      <c r="F55" s="274">
        <f>CDCM!D$4406</f>
        <v>0</v>
      </c>
      <c r="G55" s="279">
        <f>CDCM!E$4406</f>
        <v>26.22</v>
      </c>
      <c r="H55" s="279">
        <f>CDCM!F$4406</f>
        <v>0</v>
      </c>
      <c r="I55" s="279">
        <f>CDCM!G$4406</f>
        <v>0</v>
      </c>
      <c r="J55" s="274">
        <f>CDCM!H$4406</f>
        <v>0</v>
      </c>
      <c r="K55" s="286"/>
      <c r="L55" s="265"/>
    </row>
    <row r="56" spans="1:12">
      <c r="A56" s="285" t="s">
        <v>1175</v>
      </c>
      <c r="B56" s="286">
        <v>20307</v>
      </c>
      <c r="C56" s="287"/>
      <c r="D56" s="274">
        <f>CDCM!B$4414</f>
        <v>9.8480000000000008</v>
      </c>
      <c r="E56" s="274">
        <f>CDCM!C$4414</f>
        <v>1.2629999999999999</v>
      </c>
      <c r="F56" s="274">
        <f>CDCM!D$4414</f>
        <v>0.99099999999999999</v>
      </c>
      <c r="G56" s="279">
        <f>CDCM!E$4414</f>
        <v>3.65</v>
      </c>
      <c r="H56" s="279">
        <f>CDCM!F$4414</f>
        <v>0</v>
      </c>
      <c r="I56" s="279">
        <f>CDCM!G$4414</f>
        <v>0</v>
      </c>
      <c r="J56" s="274">
        <f>CDCM!H$4414</f>
        <v>0</v>
      </c>
      <c r="K56" s="286"/>
      <c r="L56" s="265"/>
    </row>
    <row r="57" spans="1:12">
      <c r="A57" s="285" t="s">
        <v>1174</v>
      </c>
      <c r="B57" s="286">
        <v>20308</v>
      </c>
      <c r="C57" s="287"/>
      <c r="D57" s="274">
        <f>CDCM!B$4418</f>
        <v>10.026</v>
      </c>
      <c r="E57" s="274">
        <f>CDCM!C$4418</f>
        <v>1.27</v>
      </c>
      <c r="F57" s="274">
        <f>CDCM!D$4418</f>
        <v>0.99199999999999999</v>
      </c>
      <c r="G57" s="279">
        <f>CDCM!E$4418</f>
        <v>5.9</v>
      </c>
      <c r="H57" s="279">
        <f>CDCM!F$4418</f>
        <v>0</v>
      </c>
      <c r="I57" s="279">
        <f>CDCM!G$4418</f>
        <v>0</v>
      </c>
      <c r="J57" s="274">
        <f>CDCM!H$4418</f>
        <v>0</v>
      </c>
      <c r="K57" s="286"/>
      <c r="L57" s="265"/>
    </row>
    <row r="58" spans="1:12">
      <c r="A58" s="285" t="s">
        <v>132</v>
      </c>
      <c r="B58" s="286">
        <v>20309</v>
      </c>
      <c r="C58" s="287"/>
      <c r="D58" s="274">
        <f>CDCM!B$4422</f>
        <v>7.3140000000000001</v>
      </c>
      <c r="E58" s="274">
        <f>CDCM!C$4422</f>
        <v>1.129</v>
      </c>
      <c r="F58" s="274">
        <f>CDCM!D$4422</f>
        <v>0.95899999999999996</v>
      </c>
      <c r="G58" s="279">
        <f>CDCM!E$4422</f>
        <v>8.32</v>
      </c>
      <c r="H58" s="279">
        <f>CDCM!F$4422</f>
        <v>2.15</v>
      </c>
      <c r="I58" s="279">
        <f>CDCM!G$4422</f>
        <v>4.91</v>
      </c>
      <c r="J58" s="274">
        <f>CDCM!H$4422</f>
        <v>0.107</v>
      </c>
      <c r="K58" s="286"/>
      <c r="L58" s="265"/>
    </row>
    <row r="59" spans="1:12">
      <c r="A59" s="285" t="s">
        <v>139</v>
      </c>
      <c r="B59" s="286">
        <v>20310</v>
      </c>
      <c r="C59" s="287">
        <v>8</v>
      </c>
      <c r="D59" s="274">
        <f>CDCM!B$4432</f>
        <v>2.09</v>
      </c>
      <c r="E59" s="274">
        <f>CDCM!C$4432</f>
        <v>0</v>
      </c>
      <c r="F59" s="274">
        <f>CDCM!D$4432</f>
        <v>0</v>
      </c>
      <c r="G59" s="279">
        <f>CDCM!E$4432</f>
        <v>0</v>
      </c>
      <c r="H59" s="279">
        <f>CDCM!F$4432</f>
        <v>0</v>
      </c>
      <c r="I59" s="279">
        <f>CDCM!G$4432</f>
        <v>0</v>
      </c>
      <c r="J59" s="274">
        <f>CDCM!H$4432</f>
        <v>0</v>
      </c>
      <c r="K59" s="286"/>
      <c r="L59" s="265"/>
    </row>
    <row r="60" spans="1:12">
      <c r="A60" s="285" t="s">
        <v>142</v>
      </c>
      <c r="B60" s="286">
        <v>20311</v>
      </c>
      <c r="C60" s="287">
        <v>1</v>
      </c>
      <c r="D60" s="274">
        <f>CDCM!B$4436</f>
        <v>2.3540000000000001</v>
      </c>
      <c r="E60" s="274">
        <f>CDCM!C$4436</f>
        <v>0</v>
      </c>
      <c r="F60" s="274">
        <f>CDCM!D$4436</f>
        <v>0</v>
      </c>
      <c r="G60" s="279">
        <f>CDCM!E$4436</f>
        <v>0</v>
      </c>
      <c r="H60" s="279">
        <f>CDCM!F$4436</f>
        <v>0</v>
      </c>
      <c r="I60" s="279">
        <f>CDCM!G$4436</f>
        <v>0</v>
      </c>
      <c r="J60" s="274">
        <f>CDCM!H$4436</f>
        <v>0</v>
      </c>
      <c r="K60" s="286"/>
      <c r="L60" s="265"/>
    </row>
    <row r="61" spans="1:12">
      <c r="A61" s="285" t="s">
        <v>145</v>
      </c>
      <c r="B61" s="286">
        <v>20312</v>
      </c>
      <c r="C61" s="287">
        <v>1</v>
      </c>
      <c r="D61" s="274">
        <f>CDCM!B$4440</f>
        <v>2.9740000000000002</v>
      </c>
      <c r="E61" s="274">
        <f>CDCM!C$4440</f>
        <v>0</v>
      </c>
      <c r="F61" s="274">
        <f>CDCM!D$4440</f>
        <v>0</v>
      </c>
      <c r="G61" s="279">
        <f>CDCM!E$4440</f>
        <v>0</v>
      </c>
      <c r="H61" s="279">
        <f>CDCM!F$4440</f>
        <v>0</v>
      </c>
      <c r="I61" s="279">
        <f>CDCM!G$4440</f>
        <v>0</v>
      </c>
      <c r="J61" s="274">
        <f>CDCM!H$4440</f>
        <v>0</v>
      </c>
      <c r="K61" s="286"/>
      <c r="L61" s="265"/>
    </row>
    <row r="62" spans="1:12">
      <c r="A62" s="285" t="s">
        <v>148</v>
      </c>
      <c r="B62" s="286">
        <v>20313</v>
      </c>
      <c r="C62" s="287">
        <v>1</v>
      </c>
      <c r="D62" s="274">
        <f>CDCM!B$4444</f>
        <v>1.833</v>
      </c>
      <c r="E62" s="274">
        <f>CDCM!C$4444</f>
        <v>0</v>
      </c>
      <c r="F62" s="274">
        <f>CDCM!D$4444</f>
        <v>0</v>
      </c>
      <c r="G62" s="279">
        <f>CDCM!E$4444</f>
        <v>0</v>
      </c>
      <c r="H62" s="279">
        <f>CDCM!F$4444</f>
        <v>0</v>
      </c>
      <c r="I62" s="279">
        <f>CDCM!G$4444</f>
        <v>0</v>
      </c>
      <c r="J62" s="274">
        <f>CDCM!H$4444</f>
        <v>0</v>
      </c>
      <c r="K62" s="286"/>
      <c r="L62" s="265"/>
    </row>
    <row r="63" spans="1:12">
      <c r="A63" s="285" t="s">
        <v>151</v>
      </c>
      <c r="B63" s="286">
        <v>20314</v>
      </c>
      <c r="C63" s="287"/>
      <c r="D63" s="274">
        <f>CDCM!B$4448</f>
        <v>23.988</v>
      </c>
      <c r="E63" s="274">
        <f>CDCM!C$4448</f>
        <v>1.867</v>
      </c>
      <c r="F63" s="274">
        <f>CDCM!D$4448</f>
        <v>1.573</v>
      </c>
      <c r="G63" s="279">
        <f>CDCM!E$4448</f>
        <v>0</v>
      </c>
      <c r="H63" s="279">
        <f>CDCM!F$4448</f>
        <v>0</v>
      </c>
      <c r="I63" s="279">
        <f>CDCM!G$4448</f>
        <v>0</v>
      </c>
      <c r="J63" s="274">
        <f>CDCM!H$4448</f>
        <v>0</v>
      </c>
      <c r="K63" s="286"/>
      <c r="L63" s="265"/>
    </row>
    <row r="64" spans="1:12">
      <c r="A64" s="285" t="s">
        <v>1173</v>
      </c>
      <c r="B64" s="286">
        <v>20315</v>
      </c>
      <c r="C64" s="287" t="s">
        <v>1169</v>
      </c>
      <c r="D64" s="274">
        <f>CDCM!B$4452</f>
        <v>-0.78700000000000003</v>
      </c>
      <c r="E64" s="274">
        <f>CDCM!C$4452</f>
        <v>0</v>
      </c>
      <c r="F64" s="274">
        <f>CDCM!D$4452</f>
        <v>0</v>
      </c>
      <c r="G64" s="279">
        <f>CDCM!E$4452</f>
        <v>0</v>
      </c>
      <c r="H64" s="279">
        <f>CDCM!F$4452</f>
        <v>0</v>
      </c>
      <c r="I64" s="279">
        <f>CDCM!G$4452</f>
        <v>0</v>
      </c>
      <c r="J64" s="274">
        <f>CDCM!H$4452</f>
        <v>0</v>
      </c>
      <c r="K64" s="286"/>
      <c r="L64" s="265"/>
    </row>
    <row r="65" spans="1:12">
      <c r="A65" s="285" t="s">
        <v>156</v>
      </c>
      <c r="B65" s="286">
        <v>20316</v>
      </c>
      <c r="C65" s="287"/>
      <c r="D65" s="274">
        <f>CDCM!B$4459</f>
        <v>-0.78700000000000003</v>
      </c>
      <c r="E65" s="274">
        <f>CDCM!C$4459</f>
        <v>0</v>
      </c>
      <c r="F65" s="274">
        <f>CDCM!D$4459</f>
        <v>0</v>
      </c>
      <c r="G65" s="279">
        <f>CDCM!E$4459</f>
        <v>0</v>
      </c>
      <c r="H65" s="279">
        <f>CDCM!F$4459</f>
        <v>0</v>
      </c>
      <c r="I65" s="279">
        <f>CDCM!G$4459</f>
        <v>0</v>
      </c>
      <c r="J65" s="274">
        <f>CDCM!H$4459</f>
        <v>0.17</v>
      </c>
      <c r="K65" s="286"/>
      <c r="L65" s="265"/>
    </row>
    <row r="66" spans="1:12">
      <c r="A66" s="285" t="s">
        <v>159</v>
      </c>
      <c r="B66" s="286">
        <v>20317</v>
      </c>
      <c r="C66" s="287"/>
      <c r="D66" s="274">
        <f>CDCM!B$4465</f>
        <v>-9.6340000000000003</v>
      </c>
      <c r="E66" s="274">
        <f>CDCM!C$4465</f>
        <v>-0.39700000000000002</v>
      </c>
      <c r="F66" s="274">
        <f>CDCM!D$4465</f>
        <v>-0.104</v>
      </c>
      <c r="G66" s="279">
        <f>CDCM!E$4465</f>
        <v>0</v>
      </c>
      <c r="H66" s="279">
        <f>CDCM!F$4465</f>
        <v>0</v>
      </c>
      <c r="I66" s="279">
        <f>CDCM!G$4465</f>
        <v>0</v>
      </c>
      <c r="J66" s="274">
        <f>CDCM!H$4465</f>
        <v>0.17</v>
      </c>
      <c r="K66" s="286"/>
      <c r="L66" s="265"/>
    </row>
    <row r="67" spans="1:12">
      <c r="A67" s="285" t="s">
        <v>110</v>
      </c>
      <c r="B67" s="286">
        <v>20318</v>
      </c>
      <c r="C67" s="287">
        <v>1</v>
      </c>
      <c r="D67" s="274">
        <f>CDCM!B$4383</f>
        <v>1.1519999999999999</v>
      </c>
      <c r="E67" s="274">
        <f>CDCM!C$4383</f>
        <v>0</v>
      </c>
      <c r="F67" s="274">
        <f>CDCM!D$4383</f>
        <v>0</v>
      </c>
      <c r="G67" s="279">
        <f>CDCM!E$4383</f>
        <v>2.2200000000000002</v>
      </c>
      <c r="H67" s="279">
        <f>CDCM!F$4383</f>
        <v>0</v>
      </c>
      <c r="I67" s="279">
        <f>CDCM!G$4383</f>
        <v>0</v>
      </c>
      <c r="J67" s="274">
        <f>CDCM!H$4383</f>
        <v>0</v>
      </c>
      <c r="K67" s="286"/>
      <c r="L67" s="265"/>
    </row>
    <row r="68" spans="1:12">
      <c r="A68" s="285" t="s">
        <v>113</v>
      </c>
      <c r="B68" s="286">
        <v>20319</v>
      </c>
      <c r="C68" s="287">
        <v>2</v>
      </c>
      <c r="D68" s="274">
        <f>CDCM!B$4387</f>
        <v>1.298</v>
      </c>
      <c r="E68" s="274">
        <f>CDCM!C$4387</f>
        <v>0.60799999999999998</v>
      </c>
      <c r="F68" s="274">
        <f>CDCM!D$4387</f>
        <v>0</v>
      </c>
      <c r="G68" s="279">
        <f>CDCM!E$4387</f>
        <v>2.2200000000000002</v>
      </c>
      <c r="H68" s="279">
        <f>CDCM!F$4387</f>
        <v>0</v>
      </c>
      <c r="I68" s="279">
        <f>CDCM!G$4387</f>
        <v>0</v>
      </c>
      <c r="J68" s="274">
        <f>CDCM!H$4387</f>
        <v>0</v>
      </c>
      <c r="K68" s="286"/>
      <c r="L68" s="265"/>
    </row>
    <row r="69" spans="1:12">
      <c r="A69" s="285" t="s">
        <v>116</v>
      </c>
      <c r="B69" s="286">
        <v>20320</v>
      </c>
      <c r="C69" s="287">
        <v>2</v>
      </c>
      <c r="D69" s="274">
        <f>CDCM!B$4391</f>
        <v>0.6</v>
      </c>
      <c r="E69" s="274">
        <f>CDCM!C$4391</f>
        <v>0</v>
      </c>
      <c r="F69" s="274">
        <f>CDCM!D$4391</f>
        <v>0</v>
      </c>
      <c r="G69" s="279">
        <f>CDCM!E$4391</f>
        <v>0</v>
      </c>
      <c r="H69" s="279">
        <f>CDCM!F$4391</f>
        <v>0</v>
      </c>
      <c r="I69" s="279">
        <f>CDCM!G$4391</f>
        <v>0</v>
      </c>
      <c r="J69" s="274">
        <f>CDCM!H$4391</f>
        <v>0</v>
      </c>
      <c r="K69" s="286"/>
      <c r="L69" s="265"/>
    </row>
    <row r="70" spans="1:12">
      <c r="A70" s="285" t="s">
        <v>119</v>
      </c>
      <c r="B70" s="286">
        <v>20321</v>
      </c>
      <c r="C70" s="287">
        <v>3</v>
      </c>
      <c r="D70" s="274">
        <f>CDCM!B$4395</f>
        <v>1.0489999999999999</v>
      </c>
      <c r="E70" s="274">
        <f>CDCM!C$4395</f>
        <v>0</v>
      </c>
      <c r="F70" s="274">
        <f>CDCM!D$4395</f>
        <v>0</v>
      </c>
      <c r="G70" s="279">
        <f>CDCM!E$4395</f>
        <v>3.59</v>
      </c>
      <c r="H70" s="279">
        <f>CDCM!F$4395</f>
        <v>0</v>
      </c>
      <c r="I70" s="279">
        <f>CDCM!G$4395</f>
        <v>0</v>
      </c>
      <c r="J70" s="274">
        <f>CDCM!H$4395</f>
        <v>0</v>
      </c>
      <c r="K70" s="286"/>
      <c r="L70" s="265"/>
    </row>
    <row r="71" spans="1:12">
      <c r="A71" s="285" t="s">
        <v>122</v>
      </c>
      <c r="B71" s="286">
        <v>20322</v>
      </c>
      <c r="C71" s="287">
        <v>4</v>
      </c>
      <c r="D71" s="274">
        <f>CDCM!B$4399</f>
        <v>1.1359999999999999</v>
      </c>
      <c r="E71" s="274">
        <f>CDCM!C$4399</f>
        <v>0.60499999999999998</v>
      </c>
      <c r="F71" s="274">
        <f>CDCM!D$4399</f>
        <v>0</v>
      </c>
      <c r="G71" s="279">
        <f>CDCM!E$4399</f>
        <v>3.59</v>
      </c>
      <c r="H71" s="279">
        <f>CDCM!F$4399</f>
        <v>0</v>
      </c>
      <c r="I71" s="279">
        <f>CDCM!G$4399</f>
        <v>0</v>
      </c>
      <c r="J71" s="274">
        <f>CDCM!H$4399</f>
        <v>0</v>
      </c>
      <c r="K71" s="286"/>
      <c r="L71" s="265"/>
    </row>
    <row r="72" spans="1:12" ht="30">
      <c r="A72" s="285" t="s">
        <v>125</v>
      </c>
      <c r="B72" s="286">
        <v>20323</v>
      </c>
      <c r="C72" s="287">
        <v>4</v>
      </c>
      <c r="D72" s="274">
        <f>CDCM!B$4403</f>
        <v>0.60299999999999998</v>
      </c>
      <c r="E72" s="274">
        <f>CDCM!C$4403</f>
        <v>0</v>
      </c>
      <c r="F72" s="274">
        <f>CDCM!D$4403</f>
        <v>0</v>
      </c>
      <c r="G72" s="279">
        <f>CDCM!E$4403</f>
        <v>0</v>
      </c>
      <c r="H72" s="279">
        <f>CDCM!F$4403</f>
        <v>0</v>
      </c>
      <c r="I72" s="279">
        <f>CDCM!G$4403</f>
        <v>0</v>
      </c>
      <c r="J72" s="274">
        <f>CDCM!H$4403</f>
        <v>0</v>
      </c>
      <c r="K72" s="286"/>
      <c r="L72" s="265"/>
    </row>
    <row r="73" spans="1:12">
      <c r="A73" s="285" t="s">
        <v>128</v>
      </c>
      <c r="B73" s="286">
        <v>20324</v>
      </c>
      <c r="C73" s="287" t="s">
        <v>929</v>
      </c>
      <c r="D73" s="274">
        <f>CDCM!B$4407</f>
        <v>1.075</v>
      </c>
      <c r="E73" s="274">
        <f>CDCM!C$4407</f>
        <v>0.59399999999999997</v>
      </c>
      <c r="F73" s="274">
        <f>CDCM!D$4407</f>
        <v>0</v>
      </c>
      <c r="G73" s="279">
        <f>CDCM!E$4407</f>
        <v>15.93</v>
      </c>
      <c r="H73" s="279">
        <f>CDCM!F$4407</f>
        <v>0</v>
      </c>
      <c r="I73" s="279">
        <f>CDCM!G$4407</f>
        <v>0</v>
      </c>
      <c r="J73" s="274">
        <f>CDCM!H$4407</f>
        <v>0</v>
      </c>
      <c r="K73" s="286"/>
      <c r="L73" s="265"/>
    </row>
    <row r="74" spans="1:12">
      <c r="A74" s="285" t="s">
        <v>1172</v>
      </c>
      <c r="B74" s="286">
        <v>20325</v>
      </c>
      <c r="C74" s="287"/>
      <c r="D74" s="274">
        <f>CDCM!B$4415</f>
        <v>5.984</v>
      </c>
      <c r="E74" s="274">
        <f>CDCM!C$4415</f>
        <v>0.76700000000000002</v>
      </c>
      <c r="F74" s="274">
        <f>CDCM!D$4415</f>
        <v>0.60199999999999998</v>
      </c>
      <c r="G74" s="279">
        <f>CDCM!E$4415</f>
        <v>2.2200000000000002</v>
      </c>
      <c r="H74" s="279">
        <f>CDCM!F$4415</f>
        <v>0</v>
      </c>
      <c r="I74" s="279">
        <f>CDCM!G$4415</f>
        <v>0</v>
      </c>
      <c r="J74" s="274">
        <f>CDCM!H$4415</f>
        <v>0</v>
      </c>
      <c r="K74" s="286"/>
      <c r="L74" s="265"/>
    </row>
    <row r="75" spans="1:12">
      <c r="A75" s="285" t="s">
        <v>1171</v>
      </c>
      <c r="B75" s="286">
        <v>20326</v>
      </c>
      <c r="C75" s="287"/>
      <c r="D75" s="274">
        <f>CDCM!B$4419</f>
        <v>6.0919999999999996</v>
      </c>
      <c r="E75" s="274">
        <f>CDCM!C$4419</f>
        <v>0.77200000000000002</v>
      </c>
      <c r="F75" s="274">
        <f>CDCM!D$4419</f>
        <v>0.60299999999999998</v>
      </c>
      <c r="G75" s="279">
        <f>CDCM!E$4419</f>
        <v>3.59</v>
      </c>
      <c r="H75" s="279">
        <f>CDCM!F$4419</f>
        <v>0</v>
      </c>
      <c r="I75" s="279">
        <f>CDCM!G$4419</f>
        <v>0</v>
      </c>
      <c r="J75" s="274">
        <f>CDCM!H$4419</f>
        <v>0</v>
      </c>
      <c r="K75" s="286"/>
      <c r="L75" s="265"/>
    </row>
    <row r="76" spans="1:12">
      <c r="A76" s="285" t="s">
        <v>133</v>
      </c>
      <c r="B76" s="286">
        <v>20327</v>
      </c>
      <c r="C76" s="287"/>
      <c r="D76" s="274">
        <f>CDCM!B$4423</f>
        <v>4.444</v>
      </c>
      <c r="E76" s="274">
        <f>CDCM!C$4423</f>
        <v>0.68600000000000005</v>
      </c>
      <c r="F76" s="274">
        <f>CDCM!D$4423</f>
        <v>0.58299999999999996</v>
      </c>
      <c r="G76" s="279">
        <f>CDCM!E$4423</f>
        <v>5.0599999999999996</v>
      </c>
      <c r="H76" s="279">
        <f>CDCM!F$4423</f>
        <v>1.31</v>
      </c>
      <c r="I76" s="279">
        <f>CDCM!G$4423</f>
        <v>2.98</v>
      </c>
      <c r="J76" s="274">
        <f>CDCM!H$4423</f>
        <v>6.5000000000000002E-2</v>
      </c>
      <c r="K76" s="286"/>
      <c r="L76" s="265"/>
    </row>
    <row r="77" spans="1:12">
      <c r="A77" s="285" t="s">
        <v>135</v>
      </c>
      <c r="B77" s="286">
        <v>20328</v>
      </c>
      <c r="C77" s="287"/>
      <c r="D77" s="274">
        <f>CDCM!B$4426</f>
        <v>5.8540000000000001</v>
      </c>
      <c r="E77" s="274">
        <f>CDCM!C$4426</f>
        <v>1.0289999999999999</v>
      </c>
      <c r="F77" s="274">
        <f>CDCM!D$4426</f>
        <v>0.93500000000000005</v>
      </c>
      <c r="G77" s="279">
        <f>CDCM!E$4426</f>
        <v>6.39</v>
      </c>
      <c r="H77" s="279">
        <f>CDCM!F$4426</f>
        <v>2.2999999999999998</v>
      </c>
      <c r="I77" s="279">
        <f>CDCM!G$4426</f>
        <v>4.7300000000000004</v>
      </c>
      <c r="J77" s="274">
        <f>CDCM!H$4426</f>
        <v>7.5999999999999998E-2</v>
      </c>
      <c r="K77" s="286"/>
      <c r="L77" s="265"/>
    </row>
    <row r="78" spans="1:12">
      <c r="A78" s="285" t="s">
        <v>137</v>
      </c>
      <c r="B78" s="286">
        <v>20329</v>
      </c>
      <c r="C78" s="287"/>
      <c r="D78" s="274">
        <f>CDCM!B$4429</f>
        <v>5.4210000000000003</v>
      </c>
      <c r="E78" s="274">
        <f>CDCM!C$4429</f>
        <v>1.139</v>
      </c>
      <c r="F78" s="274">
        <f>CDCM!D$4429</f>
        <v>1.0900000000000001</v>
      </c>
      <c r="G78" s="279">
        <f>CDCM!E$4429</f>
        <v>75.2</v>
      </c>
      <c r="H78" s="279">
        <f>CDCM!F$4429</f>
        <v>2.3199999999999998</v>
      </c>
      <c r="I78" s="279">
        <f>CDCM!G$4429</f>
        <v>5.69</v>
      </c>
      <c r="J78" s="274">
        <f>CDCM!H$4429</f>
        <v>0.06</v>
      </c>
      <c r="K78" s="286"/>
      <c r="L78" s="265"/>
    </row>
    <row r="79" spans="1:12">
      <c r="A79" s="285" t="s">
        <v>140</v>
      </c>
      <c r="B79" s="286">
        <v>20330</v>
      </c>
      <c r="C79" s="287">
        <v>8</v>
      </c>
      <c r="D79" s="274">
        <f>CDCM!B$4433</f>
        <v>1.27</v>
      </c>
      <c r="E79" s="274">
        <f>CDCM!C$4433</f>
        <v>0</v>
      </c>
      <c r="F79" s="274">
        <f>CDCM!D$4433</f>
        <v>0</v>
      </c>
      <c r="G79" s="279">
        <f>CDCM!E$4433</f>
        <v>0</v>
      </c>
      <c r="H79" s="279">
        <f>CDCM!F$4433</f>
        <v>0</v>
      </c>
      <c r="I79" s="279">
        <f>CDCM!G$4433</f>
        <v>0</v>
      </c>
      <c r="J79" s="274">
        <f>CDCM!H$4433</f>
        <v>0</v>
      </c>
      <c r="K79" s="286"/>
      <c r="L79" s="265"/>
    </row>
    <row r="80" spans="1:12">
      <c r="A80" s="285" t="s">
        <v>143</v>
      </c>
      <c r="B80" s="286">
        <v>20331</v>
      </c>
      <c r="C80" s="287">
        <v>1</v>
      </c>
      <c r="D80" s="274">
        <f>CDCM!B$4437</f>
        <v>1.43</v>
      </c>
      <c r="E80" s="274">
        <f>CDCM!C$4437</f>
        <v>0</v>
      </c>
      <c r="F80" s="274">
        <f>CDCM!D$4437</f>
        <v>0</v>
      </c>
      <c r="G80" s="279">
        <f>CDCM!E$4437</f>
        <v>0</v>
      </c>
      <c r="H80" s="279">
        <f>CDCM!F$4437</f>
        <v>0</v>
      </c>
      <c r="I80" s="279">
        <f>CDCM!G$4437</f>
        <v>0</v>
      </c>
      <c r="J80" s="274">
        <f>CDCM!H$4437</f>
        <v>0</v>
      </c>
      <c r="K80" s="286"/>
      <c r="L80" s="265"/>
    </row>
    <row r="81" spans="1:12">
      <c r="A81" s="285" t="s">
        <v>146</v>
      </c>
      <c r="B81" s="286">
        <v>20332</v>
      </c>
      <c r="C81" s="287">
        <v>1</v>
      </c>
      <c r="D81" s="274">
        <f>CDCM!B$4441</f>
        <v>1.8069999999999999</v>
      </c>
      <c r="E81" s="274">
        <f>CDCM!C$4441</f>
        <v>0</v>
      </c>
      <c r="F81" s="274">
        <f>CDCM!D$4441</f>
        <v>0</v>
      </c>
      <c r="G81" s="279">
        <f>CDCM!E$4441</f>
        <v>0</v>
      </c>
      <c r="H81" s="279">
        <f>CDCM!F$4441</f>
        <v>0</v>
      </c>
      <c r="I81" s="279">
        <f>CDCM!G$4441</f>
        <v>0</v>
      </c>
      <c r="J81" s="274">
        <f>CDCM!H$4441</f>
        <v>0</v>
      </c>
      <c r="K81" s="286"/>
      <c r="L81" s="265"/>
    </row>
    <row r="82" spans="1:12">
      <c r="A82" s="285" t="s">
        <v>149</v>
      </c>
      <c r="B82" s="286">
        <v>20333</v>
      </c>
      <c r="C82" s="287">
        <v>1</v>
      </c>
      <c r="D82" s="274">
        <f>CDCM!B$4445</f>
        <v>1.1140000000000001</v>
      </c>
      <c r="E82" s="274">
        <f>CDCM!C$4445</f>
        <v>0</v>
      </c>
      <c r="F82" s="274">
        <f>CDCM!D$4445</f>
        <v>0</v>
      </c>
      <c r="G82" s="279">
        <f>CDCM!E$4445</f>
        <v>0</v>
      </c>
      <c r="H82" s="279">
        <f>CDCM!F$4445</f>
        <v>0</v>
      </c>
      <c r="I82" s="279">
        <f>CDCM!G$4445</f>
        <v>0</v>
      </c>
      <c r="J82" s="274">
        <f>CDCM!H$4445</f>
        <v>0</v>
      </c>
      <c r="K82" s="286"/>
      <c r="L82" s="265"/>
    </row>
    <row r="83" spans="1:12">
      <c r="A83" s="285" t="s">
        <v>152</v>
      </c>
      <c r="B83" s="286">
        <v>20334</v>
      </c>
      <c r="C83" s="287"/>
      <c r="D83" s="274">
        <f>CDCM!B$4449</f>
        <v>14.576000000000001</v>
      </c>
      <c r="E83" s="274">
        <f>CDCM!C$4449</f>
        <v>1.1339999999999999</v>
      </c>
      <c r="F83" s="274">
        <f>CDCM!D$4449</f>
        <v>0.95599999999999996</v>
      </c>
      <c r="G83" s="279">
        <f>CDCM!E$4449</f>
        <v>0</v>
      </c>
      <c r="H83" s="279">
        <f>CDCM!F$4449</f>
        <v>0</v>
      </c>
      <c r="I83" s="279">
        <f>CDCM!G$4449</f>
        <v>0</v>
      </c>
      <c r="J83" s="274">
        <f>CDCM!H$4449</f>
        <v>0</v>
      </c>
      <c r="K83" s="286"/>
      <c r="L83" s="265"/>
    </row>
    <row r="84" spans="1:12">
      <c r="A84" s="285" t="s">
        <v>1170</v>
      </c>
      <c r="B84" s="286">
        <v>20335</v>
      </c>
      <c r="C84" s="287" t="s">
        <v>1169</v>
      </c>
      <c r="D84" s="274">
        <f>CDCM!B$4453</f>
        <v>-0.78700000000000003</v>
      </c>
      <c r="E84" s="274">
        <f>CDCM!C$4453</f>
        <v>0</v>
      </c>
      <c r="F84" s="274">
        <f>CDCM!D$4453</f>
        <v>0</v>
      </c>
      <c r="G84" s="279">
        <f>CDCM!E$4453</f>
        <v>0</v>
      </c>
      <c r="H84" s="279">
        <f>CDCM!F$4453</f>
        <v>0</v>
      </c>
      <c r="I84" s="279">
        <f>CDCM!G$4453</f>
        <v>0</v>
      </c>
      <c r="J84" s="274">
        <f>CDCM!H$4453</f>
        <v>0</v>
      </c>
      <c r="K84" s="286"/>
      <c r="L84" s="265"/>
    </row>
    <row r="85" spans="1:12">
      <c r="A85" s="285" t="s">
        <v>154</v>
      </c>
      <c r="B85" s="286">
        <v>20336</v>
      </c>
      <c r="C85" s="287">
        <v>8</v>
      </c>
      <c r="D85" s="274">
        <f>CDCM!B$4456</f>
        <v>-0.71199999999999997</v>
      </c>
      <c r="E85" s="274">
        <f>CDCM!C$4456</f>
        <v>0</v>
      </c>
      <c r="F85" s="274">
        <f>CDCM!D$4456</f>
        <v>0</v>
      </c>
      <c r="G85" s="279">
        <f>CDCM!E$4456</f>
        <v>0</v>
      </c>
      <c r="H85" s="279">
        <f>CDCM!F$4456</f>
        <v>0</v>
      </c>
      <c r="I85" s="279">
        <f>CDCM!G$4456</f>
        <v>0</v>
      </c>
      <c r="J85" s="274">
        <f>CDCM!H$4456</f>
        <v>0</v>
      </c>
      <c r="K85" s="286"/>
      <c r="L85" s="265"/>
    </row>
    <row r="86" spans="1:12">
      <c r="A86" s="285" t="s">
        <v>157</v>
      </c>
      <c r="B86" s="286">
        <v>20337</v>
      </c>
      <c r="C86" s="287"/>
      <c r="D86" s="274">
        <f>CDCM!B$4460</f>
        <v>-0.78700000000000003</v>
      </c>
      <c r="E86" s="274">
        <f>CDCM!C$4460</f>
        <v>0</v>
      </c>
      <c r="F86" s="274">
        <f>CDCM!D$4460</f>
        <v>0</v>
      </c>
      <c r="G86" s="279">
        <f>CDCM!E$4460</f>
        <v>0</v>
      </c>
      <c r="H86" s="279">
        <f>CDCM!F$4460</f>
        <v>0</v>
      </c>
      <c r="I86" s="279">
        <f>CDCM!G$4460</f>
        <v>0</v>
      </c>
      <c r="J86" s="274">
        <f>CDCM!H$4460</f>
        <v>0.17</v>
      </c>
      <c r="K86" s="286"/>
      <c r="L86" s="265"/>
    </row>
    <row r="87" spans="1:12">
      <c r="A87" s="285" t="s">
        <v>160</v>
      </c>
      <c r="B87" s="286">
        <v>20338</v>
      </c>
      <c r="C87" s="287"/>
      <c r="D87" s="274">
        <f>CDCM!B$4466</f>
        <v>-9.6340000000000003</v>
      </c>
      <c r="E87" s="274">
        <f>CDCM!C$4466</f>
        <v>-0.39700000000000002</v>
      </c>
      <c r="F87" s="274">
        <f>CDCM!D$4466</f>
        <v>-0.104</v>
      </c>
      <c r="G87" s="279">
        <f>CDCM!E$4466</f>
        <v>0</v>
      </c>
      <c r="H87" s="279">
        <f>CDCM!F$4466</f>
        <v>0</v>
      </c>
      <c r="I87" s="279">
        <f>CDCM!G$4466</f>
        <v>0</v>
      </c>
      <c r="J87" s="274">
        <f>CDCM!H$4466</f>
        <v>0.17</v>
      </c>
      <c r="K87" s="286"/>
      <c r="L87" s="265"/>
    </row>
    <row r="88" spans="1:12">
      <c r="A88" s="285" t="s">
        <v>162</v>
      </c>
      <c r="B88" s="286">
        <v>20339</v>
      </c>
      <c r="C88" s="287"/>
      <c r="D88" s="274">
        <f>CDCM!B$4471</f>
        <v>-0.71199999999999997</v>
      </c>
      <c r="E88" s="274">
        <f>CDCM!C$4471</f>
        <v>0</v>
      </c>
      <c r="F88" s="274">
        <f>CDCM!D$4471</f>
        <v>0</v>
      </c>
      <c r="G88" s="279">
        <f>CDCM!E$4471</f>
        <v>0</v>
      </c>
      <c r="H88" s="279">
        <f>CDCM!F$4471</f>
        <v>0</v>
      </c>
      <c r="I88" s="279">
        <f>CDCM!G$4471</f>
        <v>0</v>
      </c>
      <c r="J88" s="274">
        <f>CDCM!H$4471</f>
        <v>0.14199999999999999</v>
      </c>
      <c r="K88" s="286"/>
      <c r="L88" s="265"/>
    </row>
    <row r="89" spans="1:12">
      <c r="A89" s="285" t="s">
        <v>164</v>
      </c>
      <c r="B89" s="286">
        <v>20340</v>
      </c>
      <c r="C89" s="287"/>
      <c r="D89" s="274">
        <f>CDCM!B$4476</f>
        <v>-8.8510000000000009</v>
      </c>
      <c r="E89" s="274">
        <f>CDCM!C$4476</f>
        <v>-0.34</v>
      </c>
      <c r="F89" s="274">
        <f>CDCM!D$4476</f>
        <v>-9.1999999999999998E-2</v>
      </c>
      <c r="G89" s="279">
        <f>CDCM!E$4476</f>
        <v>0</v>
      </c>
      <c r="H89" s="279">
        <f>CDCM!F$4476</f>
        <v>0</v>
      </c>
      <c r="I89" s="279">
        <f>CDCM!G$4476</f>
        <v>0</v>
      </c>
      <c r="J89" s="274">
        <f>CDCM!H$4476</f>
        <v>0.14199999999999999</v>
      </c>
      <c r="K89" s="286"/>
      <c r="L89" s="265"/>
    </row>
    <row r="90" spans="1:12">
      <c r="A90" s="285" t="s">
        <v>166</v>
      </c>
      <c r="B90" s="286">
        <v>20341</v>
      </c>
      <c r="C90" s="287"/>
      <c r="D90" s="274">
        <f>CDCM!B$4481</f>
        <v>-0.45400000000000001</v>
      </c>
      <c r="E90" s="274">
        <f>CDCM!C$4481</f>
        <v>0</v>
      </c>
      <c r="F90" s="274">
        <f>CDCM!D$4481</f>
        <v>0</v>
      </c>
      <c r="G90" s="279">
        <f>CDCM!E$4481</f>
        <v>0</v>
      </c>
      <c r="H90" s="279">
        <f>CDCM!F$4481</f>
        <v>0</v>
      </c>
      <c r="I90" s="279">
        <f>CDCM!G$4481</f>
        <v>0</v>
      </c>
      <c r="J90" s="274">
        <f>CDCM!H$4481</f>
        <v>0.109</v>
      </c>
      <c r="K90" s="286"/>
      <c r="L90" s="265"/>
    </row>
    <row r="91" spans="1:12">
      <c r="A91" s="285" t="s">
        <v>168</v>
      </c>
      <c r="B91" s="286">
        <v>20342</v>
      </c>
      <c r="C91" s="287"/>
      <c r="D91" s="274">
        <f>CDCM!B$4486</f>
        <v>-6.157</v>
      </c>
      <c r="E91" s="274">
        <f>CDCM!C$4486</f>
        <v>-0.14799999999999999</v>
      </c>
      <c r="F91" s="274">
        <f>CDCM!D$4486</f>
        <v>-5.1999999999999998E-2</v>
      </c>
      <c r="G91" s="279">
        <f>CDCM!E$4486</f>
        <v>0</v>
      </c>
      <c r="H91" s="279">
        <f>CDCM!F$4486</f>
        <v>0</v>
      </c>
      <c r="I91" s="279">
        <f>CDCM!G$4486</f>
        <v>0</v>
      </c>
      <c r="J91" s="274">
        <f>CDCM!H$4486</f>
        <v>0.109</v>
      </c>
      <c r="K91" s="286"/>
      <c r="L91" s="265"/>
    </row>
  </sheetData>
  <sheetProtection sheet="1" objects="1" scenarios="1"/>
  <hyperlinks>
    <hyperlink ref="A5" location="'CDCM'!B4379" display="x1 = 3607. Unit rate 1 p/kWh (in Tariffs)"/>
    <hyperlink ref="A6" location="'CDCM'!C4379" display="x2 = 3607. Unit rate 2 p/kWh (in Tariffs)"/>
    <hyperlink ref="A7" location="'CDCM'!D4379" display="x3 = 3607. Unit rate 3 p/kWh (in Tariffs)"/>
    <hyperlink ref="A8" location="'CDCM'!E4379" display="x4 = 3607. Fixed charge p/MPAN/day (in Tariffs)"/>
    <hyperlink ref="A9" location="'CDCM'!F4379" display="x5 = 3607. Capacity charge p/kVA/day (in Tariffs)"/>
    <hyperlink ref="A10" location="'CDCM'!G4379" display="x6 = 3607. Exceeded capacity charge p/kVA/day (in Tariffs)"/>
    <hyperlink ref="A11" location="'CDCM'!H4379" display="x7 = 3607. Reactive power charge p/kVArh (in Tariffs)"/>
  </hyperlinks>
  <pageMargins left="0.7" right="0.7" top="0.75" bottom="0.75" header="0.3" footer="0.3"/>
  <pageSetup paperSize="9" fitToHeight="0" orientation="portrait"/>
  <headerFooter>
    <oddHeader>&amp;L&amp;A&amp;C&amp;R&amp;P of &amp;N</oddHeader>
    <oddFooter>&amp;F</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60"/>
  <sheetViews>
    <sheetView showGridLines="0" workbookViewId="0">
      <pane xSplit="1" ySplit="1" topLeftCell="G21" activePane="bottomRight" state="frozen"/>
      <selection pane="topRight"/>
      <selection pane="bottomLeft"/>
      <selection pane="bottomRight" activeCell="K36" sqref="K36:K144"/>
    </sheetView>
  </sheetViews>
  <sheetFormatPr defaultColWidth="8.85546875" defaultRowHeight="15"/>
  <cols>
    <col min="1" max="1" width="50.7109375" customWidth="1"/>
    <col min="2" max="251" width="20.7109375" customWidth="1"/>
  </cols>
  <sheetData>
    <row r="1" spans="1:1" ht="21" customHeight="1">
      <c r="A1" s="1" t="str">
        <f>"Summary for "&amp;CDCM!B7&amp;" in "&amp;CDCM!C7&amp;" ("&amp;CDCM!D7&amp;")"</f>
        <v>Summary for 0 in 0 (0)</v>
      </c>
    </row>
    <row r="2" spans="1:1">
      <c r="A2" s="264" t="s">
        <v>930</v>
      </c>
    </row>
    <row r="4" spans="1:1" ht="21" customHeight="1">
      <c r="A4" s="1" t="s">
        <v>1411</v>
      </c>
    </row>
    <row r="5" spans="1:1">
      <c r="A5" s="264" t="s">
        <v>217</v>
      </c>
    </row>
    <row r="6" spans="1:1">
      <c r="A6" s="269" t="s">
        <v>932</v>
      </c>
    </row>
    <row r="7" spans="1:1">
      <c r="A7" s="269" t="s">
        <v>933</v>
      </c>
    </row>
    <row r="8" spans="1:1">
      <c r="A8" s="269" t="s">
        <v>934</v>
      </c>
    </row>
    <row r="9" spans="1:1">
      <c r="A9" s="269" t="s">
        <v>935</v>
      </c>
    </row>
    <row r="10" spans="1:1">
      <c r="A10" s="269" t="s">
        <v>480</v>
      </c>
    </row>
    <row r="11" spans="1:1">
      <c r="A11" s="269" t="s">
        <v>936</v>
      </c>
    </row>
    <row r="12" spans="1:1">
      <c r="A12" s="269" t="s">
        <v>937</v>
      </c>
    </row>
    <row r="13" spans="1:1">
      <c r="A13" s="269" t="s">
        <v>938</v>
      </c>
    </row>
    <row r="14" spans="1:1">
      <c r="A14" s="269" t="s">
        <v>1522</v>
      </c>
    </row>
    <row r="15" spans="1:1">
      <c r="A15" s="269" t="s">
        <v>1523</v>
      </c>
    </row>
    <row r="16" spans="1:1">
      <c r="A16" s="269" t="s">
        <v>1524</v>
      </c>
    </row>
    <row r="17" spans="1:22">
      <c r="A17" s="269" t="s">
        <v>1525</v>
      </c>
    </row>
    <row r="18" spans="1:22">
      <c r="A18" s="269" t="s">
        <v>1526</v>
      </c>
    </row>
    <row r="19" spans="1:22">
      <c r="A19" s="269" t="s">
        <v>1527</v>
      </c>
    </row>
    <row r="20" spans="1:22">
      <c r="A20" s="269" t="s">
        <v>1528</v>
      </c>
    </row>
    <row r="21" spans="1:22">
      <c r="A21" s="269" t="s">
        <v>1529</v>
      </c>
    </row>
    <row r="22" spans="1:22">
      <c r="A22" s="269" t="s">
        <v>1530</v>
      </c>
    </row>
    <row r="23" spans="1:22">
      <c r="A23" s="269" t="s">
        <v>1531</v>
      </c>
    </row>
    <row r="24" spans="1:22">
      <c r="A24" s="269" t="s">
        <v>1532</v>
      </c>
    </row>
    <row r="25" spans="1:22">
      <c r="A25" s="269" t="s">
        <v>1533</v>
      </c>
    </row>
    <row r="26" spans="1:22">
      <c r="A26" s="269" t="s">
        <v>1534</v>
      </c>
    </row>
    <row r="27" spans="1:22">
      <c r="A27" s="269" t="s">
        <v>1535</v>
      </c>
    </row>
    <row r="28" spans="1:22">
      <c r="A28" s="269" t="s">
        <v>1536</v>
      </c>
    </row>
    <row r="29" spans="1:22">
      <c r="A29" s="269" t="s">
        <v>1537</v>
      </c>
    </row>
    <row r="30" spans="1:22">
      <c r="A30" s="269" t="s">
        <v>1538</v>
      </c>
    </row>
    <row r="31" spans="1:22">
      <c r="A31" s="269" t="s">
        <v>1539</v>
      </c>
    </row>
    <row r="32" spans="1:22">
      <c r="A32" s="270" t="s">
        <v>220</v>
      </c>
      <c r="B32" s="270" t="s">
        <v>342</v>
      </c>
      <c r="C32" s="270" t="s">
        <v>276</v>
      </c>
      <c r="D32" s="270" t="s">
        <v>342</v>
      </c>
      <c r="E32" s="270" t="s">
        <v>342</v>
      </c>
      <c r="F32" s="270" t="s">
        <v>342</v>
      </c>
      <c r="G32" s="270" t="s">
        <v>342</v>
      </c>
      <c r="H32" s="270" t="s">
        <v>342</v>
      </c>
      <c r="I32" s="270" t="s">
        <v>342</v>
      </c>
      <c r="J32" s="270" t="s">
        <v>342</v>
      </c>
      <c r="K32" s="270" t="s">
        <v>342</v>
      </c>
      <c r="L32" s="270" t="s">
        <v>342</v>
      </c>
      <c r="M32" s="270" t="s">
        <v>342</v>
      </c>
      <c r="N32" s="270" t="s">
        <v>342</v>
      </c>
      <c r="O32" s="270" t="s">
        <v>342</v>
      </c>
      <c r="P32" s="270" t="s">
        <v>342</v>
      </c>
      <c r="Q32" s="270" t="s">
        <v>342</v>
      </c>
      <c r="R32" s="270" t="s">
        <v>342</v>
      </c>
      <c r="S32" s="270" t="s">
        <v>342</v>
      </c>
      <c r="T32" s="270" t="s">
        <v>342</v>
      </c>
      <c r="U32" s="270" t="s">
        <v>342</v>
      </c>
      <c r="V32" s="270" t="s">
        <v>342</v>
      </c>
    </row>
    <row r="33" spans="1:23" ht="60">
      <c r="A33" s="270" t="s">
        <v>223</v>
      </c>
      <c r="B33" s="270" t="s">
        <v>939</v>
      </c>
      <c r="C33" s="270" t="s">
        <v>924</v>
      </c>
      <c r="D33" s="270" t="s">
        <v>1540</v>
      </c>
      <c r="E33" s="270" t="s">
        <v>1541</v>
      </c>
      <c r="F33" s="270" t="s">
        <v>940</v>
      </c>
      <c r="G33" s="270" t="s">
        <v>941</v>
      </c>
      <c r="H33" s="270" t="s">
        <v>1542</v>
      </c>
      <c r="I33" s="270" t="s">
        <v>1543</v>
      </c>
      <c r="J33" s="270" t="s">
        <v>1544</v>
      </c>
      <c r="K33" s="270" t="s">
        <v>1545</v>
      </c>
      <c r="L33" s="270" t="s">
        <v>1546</v>
      </c>
      <c r="M33" s="270" t="s">
        <v>1547</v>
      </c>
      <c r="N33" s="270" t="s">
        <v>1548</v>
      </c>
      <c r="O33" s="270" t="s">
        <v>1549</v>
      </c>
      <c r="P33" s="270" t="s">
        <v>1550</v>
      </c>
      <c r="Q33" s="270" t="s">
        <v>1551</v>
      </c>
      <c r="R33" s="270" t="s">
        <v>1552</v>
      </c>
      <c r="S33" s="270" t="s">
        <v>1553</v>
      </c>
      <c r="T33" s="270" t="s">
        <v>1554</v>
      </c>
      <c r="U33" s="270" t="s">
        <v>1555</v>
      </c>
      <c r="V33" s="270" t="s">
        <v>1556</v>
      </c>
    </row>
    <row r="35" spans="1:23" ht="45">
      <c r="B35" s="284" t="s">
        <v>428</v>
      </c>
      <c r="C35" s="284" t="s">
        <v>105</v>
      </c>
      <c r="D35" s="284" t="s">
        <v>942</v>
      </c>
      <c r="E35" s="284" t="s">
        <v>943</v>
      </c>
      <c r="F35" s="284" t="s">
        <v>944</v>
      </c>
      <c r="G35" s="284" t="s">
        <v>945</v>
      </c>
      <c r="H35" s="284" t="s">
        <v>1557</v>
      </c>
      <c r="I35" s="284" t="s">
        <v>946</v>
      </c>
      <c r="J35" s="284" t="s">
        <v>947</v>
      </c>
      <c r="K35" s="284" t="s">
        <v>948</v>
      </c>
      <c r="L35" s="284" t="s">
        <v>949</v>
      </c>
      <c r="M35" s="284" t="s">
        <v>950</v>
      </c>
      <c r="N35" s="284" t="s">
        <v>951</v>
      </c>
      <c r="O35" s="284" t="s">
        <v>952</v>
      </c>
      <c r="P35" s="284" t="s">
        <v>953</v>
      </c>
      <c r="Q35" s="284" t="s">
        <v>954</v>
      </c>
      <c r="R35" s="284" t="s">
        <v>955</v>
      </c>
      <c r="S35" s="284" t="s">
        <v>956</v>
      </c>
      <c r="T35" s="284" t="s">
        <v>957</v>
      </c>
      <c r="U35" s="284" t="s">
        <v>1558</v>
      </c>
      <c r="V35" s="284" t="s">
        <v>958</v>
      </c>
    </row>
    <row r="36" spans="1:23">
      <c r="A36" s="288" t="s">
        <v>108</v>
      </c>
      <c r="W36" s="265"/>
    </row>
    <row r="37" spans="1:23">
      <c r="A37" s="285" t="s">
        <v>54</v>
      </c>
      <c r="B37" s="275">
        <f>CDCM!B149+CDCM!C149+CDCM!D149</f>
        <v>4308328.1799358893</v>
      </c>
      <c r="C37" s="276">
        <f>CDCM!E149</f>
        <v>1249039.053009829</v>
      </c>
      <c r="D37" s="275">
        <f>0.01*CDCM!F$14*(CDCM!$E4381*CDCM!E149+CDCM!$F4381*CDCM!F149+CDCM!$G4381*CDCM!G149)+10*(CDCM!$B4381*CDCM!B149+CDCM!$C4381*CDCM!C149+CDCM!$D4381*CDCM!D149+CDCM!$H4381*CDCM!H149)</f>
        <v>156731014.20075035</v>
      </c>
      <c r="E37" s="275">
        <f>10*(CDCM!$B4381*CDCM!B149+CDCM!$C4381*CDCM!C149+CDCM!$D4381*CDCM!D149)</f>
        <v>130197677.59766257</v>
      </c>
      <c r="F37" s="275">
        <f>CDCM!E4381*CDCM!$F$14*CDCM!$E149/100</f>
        <v>26533336.603087801</v>
      </c>
      <c r="G37" s="275">
        <f>CDCM!F4381*CDCM!$F$14*CDCM!$F149/100</f>
        <v>0</v>
      </c>
      <c r="H37" s="275">
        <f>CDCM!G4381*CDCM!$F$14*CDCM!$G149/100</f>
        <v>0</v>
      </c>
      <c r="I37" s="275">
        <f>CDCM!H4381*CDCM!$H149*10</f>
        <v>0</v>
      </c>
      <c r="J37" s="273">
        <f>IF(B37&lt;&gt;0,0.1*D37/B37,"")</f>
        <v>3.6378615475639702</v>
      </c>
      <c r="K37" s="278">
        <f>IF(C37&lt;&gt;0,D37/C37,"")</f>
        <v>125.4812760442303</v>
      </c>
      <c r="L37" s="273">
        <f>IF(B37&lt;&gt;0,0.1*E37/B37,0)</f>
        <v>3.0220000000000002</v>
      </c>
      <c r="M37" s="275">
        <f>CDCM!B4381*CDCM!$B149*10</f>
        <v>130197677.59766257</v>
      </c>
      <c r="N37" s="275">
        <f>CDCM!C4381*CDCM!$C149*10</f>
        <v>0</v>
      </c>
      <c r="O37" s="275">
        <f>CDCM!D4381*CDCM!$D149*10</f>
        <v>0</v>
      </c>
      <c r="P37" s="289">
        <f>IF(E37&lt;&gt;0,$M37/E37,"")</f>
        <v>1</v>
      </c>
      <c r="Q37" s="289">
        <f>IF(E37&lt;&gt;0,$N37/E37,"")</f>
        <v>0</v>
      </c>
      <c r="R37" s="289">
        <f>IF(E37&lt;&gt;0,$O37/E37,"")</f>
        <v>0</v>
      </c>
      <c r="S37" s="289">
        <f>IF(D37&lt;&gt;0,$F37/D37,"")</f>
        <v>0.16929218979660487</v>
      </c>
      <c r="T37" s="289">
        <f>IF(D37&lt;&gt;0,$G37/D37,"")</f>
        <v>0</v>
      </c>
      <c r="U37" s="289">
        <f>IF(D37&lt;&gt;0,$H37/D37,"")</f>
        <v>0</v>
      </c>
      <c r="V37" s="289">
        <f>IF(D37&lt;&gt;0,$I37/D37,"")</f>
        <v>0</v>
      </c>
      <c r="W37" s="265"/>
    </row>
    <row r="38" spans="1:23">
      <c r="A38" s="285" t="s">
        <v>109</v>
      </c>
      <c r="B38" s="275">
        <f>CDCM!B150+CDCM!C150+CDCM!D150</f>
        <v>17317.244984043104</v>
      </c>
      <c r="C38" s="276">
        <f>CDCM!E150</f>
        <v>6432.4704020547961</v>
      </c>
      <c r="D38" s="275">
        <f>0.01*CDCM!F$14*(CDCM!$E4382*CDCM!E150+CDCM!$F4382*CDCM!F150+CDCM!$G4382*CDCM!G150)+10*(CDCM!$B4382*CDCM!B150+CDCM!$C4382*CDCM!C150+CDCM!$D4382*CDCM!D150+CDCM!$H4382*CDCM!H150)</f>
        <v>414031.55182883231</v>
      </c>
      <c r="E38" s="275">
        <f>10*(CDCM!$B4382*CDCM!B150+CDCM!$C4382*CDCM!C150+CDCM!$D4382*CDCM!D150)</f>
        <v>328334.96489745728</v>
      </c>
      <c r="F38" s="275">
        <f>CDCM!E4382*CDCM!$F$14*CDCM!$E150/100</f>
        <v>85696.58693137503</v>
      </c>
      <c r="G38" s="275">
        <f>CDCM!F4382*CDCM!$F$14*CDCM!$F150/100</f>
        <v>0</v>
      </c>
      <c r="H38" s="275">
        <f>CDCM!G4382*CDCM!$F$14*CDCM!$G150/100</f>
        <v>0</v>
      </c>
      <c r="I38" s="275">
        <f>CDCM!H4382*CDCM!$H150*10</f>
        <v>0</v>
      </c>
      <c r="J38" s="273">
        <f>IF(B38&lt;&gt;0,0.1*D38/B38,"")</f>
        <v>2.3908627048375175</v>
      </c>
      <c r="K38" s="278">
        <f>IF(C38&lt;&gt;0,D38/C38,"")</f>
        <v>64.365869712602731</v>
      </c>
      <c r="L38" s="273">
        <f>IF(B38&lt;&gt;0,0.1*E38/B38,0)</f>
        <v>1.8960000000000004</v>
      </c>
      <c r="M38" s="275">
        <f>CDCM!B4382*CDCM!$B150*10</f>
        <v>328334.96489745728</v>
      </c>
      <c r="N38" s="275">
        <f>CDCM!C4382*CDCM!$C150*10</f>
        <v>0</v>
      </c>
      <c r="O38" s="275">
        <f>CDCM!D4382*CDCM!$D150*10</f>
        <v>0</v>
      </c>
      <c r="P38" s="289">
        <f>IF(E38&lt;&gt;0,$M38/E38,"")</f>
        <v>1</v>
      </c>
      <c r="Q38" s="289">
        <f>IF(E38&lt;&gt;0,$N38/E38,"")</f>
        <v>0</v>
      </c>
      <c r="R38" s="289">
        <f>IF(E38&lt;&gt;0,$O38/E38,"")</f>
        <v>0</v>
      </c>
      <c r="S38" s="289">
        <f>IF(D38&lt;&gt;0,$F38/D38,"")</f>
        <v>0.20698081233867766</v>
      </c>
      <c r="T38" s="289">
        <f>IF(D38&lt;&gt;0,$G38/D38,"")</f>
        <v>0</v>
      </c>
      <c r="U38" s="289">
        <f>IF(D38&lt;&gt;0,$H38/D38,"")</f>
        <v>0</v>
      </c>
      <c r="V38" s="289">
        <f>IF(D38&lt;&gt;0,$I38/D38,"")</f>
        <v>0</v>
      </c>
      <c r="W38" s="265"/>
    </row>
    <row r="39" spans="1:23">
      <c r="A39" s="285" t="s">
        <v>110</v>
      </c>
      <c r="B39" s="275">
        <f>CDCM!B151+CDCM!C151+CDCM!D151</f>
        <v>30359.986233439653</v>
      </c>
      <c r="C39" s="276">
        <f>CDCM!E151</f>
        <v>11844.01251369863</v>
      </c>
      <c r="D39" s="275">
        <f>0.01*CDCM!F$14*(CDCM!$E4383*CDCM!E151+CDCM!$F4383*CDCM!F151+CDCM!$G4383*CDCM!G151)+10*(CDCM!$B4383*CDCM!B151+CDCM!$C4383*CDCM!C151+CDCM!$D4383*CDCM!D151+CDCM!$H4383*CDCM!H151)</f>
        <v>445719.07480772474</v>
      </c>
      <c r="E39" s="275">
        <f>10*(CDCM!$B4383*CDCM!B151+CDCM!$C4383*CDCM!C151+CDCM!$D4383*CDCM!D151)</f>
        <v>349747.04140922474</v>
      </c>
      <c r="F39" s="275">
        <f>CDCM!E4383*CDCM!$F$14*CDCM!$E151/100</f>
        <v>95972.033398500003</v>
      </c>
      <c r="G39" s="275">
        <f>CDCM!F4383*CDCM!$F$14*CDCM!$F151/100</f>
        <v>0</v>
      </c>
      <c r="H39" s="275">
        <f>CDCM!G4383*CDCM!$F$14*CDCM!$G151/100</f>
        <v>0</v>
      </c>
      <c r="I39" s="275">
        <f>CDCM!H4383*CDCM!$H151*10</f>
        <v>0</v>
      </c>
      <c r="J39" s="273">
        <f>IF(B39&lt;&gt;0,0.1*D39/B39,"")</f>
        <v>1.468113560330909</v>
      </c>
      <c r="K39" s="278">
        <f>IF(C39&lt;&gt;0,D39/C39,"")</f>
        <v>37.632438693577186</v>
      </c>
      <c r="L39" s="273">
        <f>IF(B39&lt;&gt;0,0.1*E39/B39,0)</f>
        <v>1.1519999999999999</v>
      </c>
      <c r="M39" s="275">
        <f>CDCM!B4383*CDCM!$B151*10</f>
        <v>349747.04140922474</v>
      </c>
      <c r="N39" s="275">
        <f>CDCM!C4383*CDCM!$C151*10</f>
        <v>0</v>
      </c>
      <c r="O39" s="275">
        <f>CDCM!D4383*CDCM!$D151*10</f>
        <v>0</v>
      </c>
      <c r="P39" s="289">
        <f>IF(E39&lt;&gt;0,$M39/E39,"")</f>
        <v>1</v>
      </c>
      <c r="Q39" s="289">
        <f>IF(E39&lt;&gt;0,$N39/E39,"")</f>
        <v>0</v>
      </c>
      <c r="R39" s="289">
        <f>IF(E39&lt;&gt;0,$O39/E39,"")</f>
        <v>0</v>
      </c>
      <c r="S39" s="289">
        <f>IF(D39&lt;&gt;0,$F39/D39,"")</f>
        <v>0.21531955624717347</v>
      </c>
      <c r="T39" s="289">
        <f>IF(D39&lt;&gt;0,$G39/D39,"")</f>
        <v>0</v>
      </c>
      <c r="U39" s="289">
        <f>IF(D39&lt;&gt;0,$H39/D39,"")</f>
        <v>0</v>
      </c>
      <c r="V39" s="289">
        <f>IF(D39&lt;&gt;0,$I39/D39,"")</f>
        <v>0</v>
      </c>
      <c r="W39" s="265"/>
    </row>
    <row r="40" spans="1:23">
      <c r="A40" s="288" t="s">
        <v>111</v>
      </c>
      <c r="W40" s="265"/>
    </row>
    <row r="41" spans="1:23">
      <c r="A41" s="285" t="s">
        <v>55</v>
      </c>
      <c r="B41" s="275">
        <f>CDCM!B153+CDCM!C153+CDCM!D153</f>
        <v>1272261.8126594797</v>
      </c>
      <c r="C41" s="276">
        <f>CDCM!E153</f>
        <v>209037.51452636323</v>
      </c>
      <c r="D41" s="275">
        <f>0.01*CDCM!F$14*(CDCM!$E4385*CDCM!E153+CDCM!$F4385*CDCM!F153+CDCM!$G4385*CDCM!G153)+10*(CDCM!$B4385*CDCM!B153+CDCM!$C4385*CDCM!C153+CDCM!$D4385*CDCM!D153+CDCM!$H4385*CDCM!H153)</f>
        <v>35736329.408851013</v>
      </c>
      <c r="E41" s="275">
        <f>10*(CDCM!$B4385*CDCM!B153+CDCM!$C4385*CDCM!C153+CDCM!$D4385*CDCM!D153)</f>
        <v>31295745.487767477</v>
      </c>
      <c r="F41" s="275">
        <f>CDCM!E4385*CDCM!$F$14*CDCM!$E153/100</f>
        <v>4440583.9210835341</v>
      </c>
      <c r="G41" s="275">
        <f>CDCM!F4385*CDCM!$F$14*CDCM!$F153/100</f>
        <v>0</v>
      </c>
      <c r="H41" s="275">
        <f>CDCM!G4385*CDCM!$F$14*CDCM!$G153/100</f>
        <v>0</v>
      </c>
      <c r="I41" s="275">
        <f>CDCM!H4385*CDCM!$H153*10</f>
        <v>0</v>
      </c>
      <c r="J41" s="273">
        <f>IF(B41&lt;&gt;0,0.1*D41/B41,"")</f>
        <v>2.8088817139099205</v>
      </c>
      <c r="K41" s="278">
        <f>IF(C41&lt;&gt;0,D41/C41,"")</f>
        <v>170.95653615008919</v>
      </c>
      <c r="L41" s="273">
        <f>IF(B41&lt;&gt;0,0.1*E41/B41,0)</f>
        <v>2.4598510445226864</v>
      </c>
      <c r="M41" s="275">
        <f>CDCM!B4385*CDCM!$B153*10</f>
        <v>20706472.854679979</v>
      </c>
      <c r="N41" s="275">
        <f>CDCM!C4385*CDCM!$C153*10</f>
        <v>10589272.633087501</v>
      </c>
      <c r="O41" s="275">
        <f>CDCM!D4385*CDCM!$D153*10</f>
        <v>0</v>
      </c>
      <c r="P41" s="289">
        <f>IF(E41&lt;&gt;0,$M41/E41,"")</f>
        <v>0.66163858799188824</v>
      </c>
      <c r="Q41" s="289">
        <f>IF(E41&lt;&gt;0,$N41/E41,"")</f>
        <v>0.33836141200811193</v>
      </c>
      <c r="R41" s="289">
        <f>IF(E41&lt;&gt;0,$O41/E41,"")</f>
        <v>0</v>
      </c>
      <c r="S41" s="289">
        <f>IF(D41&lt;&gt;0,$F41/D41,"")</f>
        <v>0.12425965381838322</v>
      </c>
      <c r="T41" s="289">
        <f>IF(D41&lt;&gt;0,$G41/D41,"")</f>
        <v>0</v>
      </c>
      <c r="U41" s="289">
        <f>IF(D41&lt;&gt;0,$H41/D41,"")</f>
        <v>0</v>
      </c>
      <c r="V41" s="289">
        <f>IF(D41&lt;&gt;0,$I41/D41,"")</f>
        <v>0</v>
      </c>
      <c r="W41" s="265"/>
    </row>
    <row r="42" spans="1:23">
      <c r="A42" s="285" t="s">
        <v>112</v>
      </c>
      <c r="B42" s="275">
        <f>CDCM!B154+CDCM!C154+CDCM!D154</f>
        <v>1460.6499953017242</v>
      </c>
      <c r="C42" s="276">
        <f>CDCM!E154</f>
        <v>424.57848904109591</v>
      </c>
      <c r="D42" s="275">
        <f>0.01*CDCM!F$14*(CDCM!$E4386*CDCM!E154+CDCM!$F4386*CDCM!F154+CDCM!$G4386*CDCM!G154)+10*(CDCM!$B4386*CDCM!B154+CDCM!$C4386*CDCM!C154+CDCM!$D4386*CDCM!D154+CDCM!$H4386*CDCM!H154)</f>
        <v>31591.270659032842</v>
      </c>
      <c r="E42" s="275">
        <f>10*(CDCM!$B4386*CDCM!B154+CDCM!$C4386*CDCM!C154+CDCM!$D4386*CDCM!D154)</f>
        <v>25934.823738782841</v>
      </c>
      <c r="F42" s="275">
        <f>CDCM!E4386*CDCM!$F$14*CDCM!$E154/100</f>
        <v>5656.4469202500004</v>
      </c>
      <c r="G42" s="275">
        <f>CDCM!F4386*CDCM!$F$14*CDCM!$F154/100</f>
        <v>0</v>
      </c>
      <c r="H42" s="275">
        <f>CDCM!G4386*CDCM!$F$14*CDCM!$G154/100</f>
        <v>0</v>
      </c>
      <c r="I42" s="275">
        <f>CDCM!H4386*CDCM!$H154*10</f>
        <v>0</v>
      </c>
      <c r="J42" s="273">
        <f>IF(B42&lt;&gt;0,0.1*D42/B42,"")</f>
        <v>2.1628227679901566</v>
      </c>
      <c r="K42" s="278">
        <f>IF(C42&lt;&gt;0,D42/C42,"")</f>
        <v>74.406196909271713</v>
      </c>
      <c r="L42" s="273">
        <f>IF(B42&lt;&gt;0,0.1*E42/B42,0)</f>
        <v>1.7755673037485977</v>
      </c>
      <c r="M42" s="275">
        <f>CDCM!B4386*CDCM!$B154*10</f>
        <v>21291.669243782846</v>
      </c>
      <c r="N42" s="275">
        <f>CDCM!C4386*CDCM!$C154*10</f>
        <v>4643.1544950000007</v>
      </c>
      <c r="O42" s="275">
        <f>CDCM!D4386*CDCM!$D154*10</f>
        <v>0</v>
      </c>
      <c r="P42" s="289">
        <f>IF(E42&lt;&gt;0,$M42/E42,"")</f>
        <v>0.82096834195727963</v>
      </c>
      <c r="Q42" s="289">
        <f>IF(E42&lt;&gt;0,$N42/E42,"")</f>
        <v>0.17903165804272053</v>
      </c>
      <c r="R42" s="289">
        <f>IF(E42&lt;&gt;0,$O42/E42,"")</f>
        <v>0</v>
      </c>
      <c r="S42" s="289">
        <f>IF(D42&lt;&gt;0,$F42/D42,"")</f>
        <v>0.17905094674096819</v>
      </c>
      <c r="T42" s="289">
        <f>IF(D42&lt;&gt;0,$G42/D42,"")</f>
        <v>0</v>
      </c>
      <c r="U42" s="289">
        <f>IF(D42&lt;&gt;0,$H42/D42,"")</f>
        <v>0</v>
      </c>
      <c r="V42" s="289">
        <f>IF(D42&lt;&gt;0,$I42/D42,"")</f>
        <v>0</v>
      </c>
      <c r="W42" s="265"/>
    </row>
    <row r="43" spans="1:23">
      <c r="A43" s="285" t="s">
        <v>113</v>
      </c>
      <c r="B43" s="275">
        <f>CDCM!B155+CDCM!C155+CDCM!D155</f>
        <v>1366.1453718620692</v>
      </c>
      <c r="C43" s="276">
        <f>CDCM!E155</f>
        <v>368.39690136986303</v>
      </c>
      <c r="D43" s="275">
        <f>0.01*CDCM!F$14*(CDCM!$E4387*CDCM!E155+CDCM!$F4387*CDCM!F155+CDCM!$G4387*CDCM!G155)+10*(CDCM!$B4387*CDCM!B155+CDCM!$C4387*CDCM!C155+CDCM!$D4387*CDCM!D155+CDCM!$H4387*CDCM!H155)</f>
        <v>17902.784511653281</v>
      </c>
      <c r="E43" s="275">
        <f>10*(CDCM!$B4387*CDCM!B155+CDCM!$C4387*CDCM!C155+CDCM!$D4387*CDCM!D155)</f>
        <v>14917.664419853279</v>
      </c>
      <c r="F43" s="275">
        <f>CDCM!E4387*CDCM!$F$14*CDCM!$E155/100</f>
        <v>2985.1200918000004</v>
      </c>
      <c r="G43" s="275">
        <f>CDCM!F4387*CDCM!$F$14*CDCM!$F155/100</f>
        <v>0</v>
      </c>
      <c r="H43" s="275">
        <f>CDCM!G4387*CDCM!$F$14*CDCM!$G155/100</f>
        <v>0</v>
      </c>
      <c r="I43" s="275">
        <f>CDCM!H4387*CDCM!$H155*10</f>
        <v>0</v>
      </c>
      <c r="J43" s="273">
        <f>IF(B43&lt;&gt;0,0.1*D43/B43,"")</f>
        <v>1.3104596978029954</v>
      </c>
      <c r="K43" s="278">
        <f>IF(C43&lt;&gt;0,D43/C43,"")</f>
        <v>48.596457910158286</v>
      </c>
      <c r="L43" s="273">
        <f>IF(B43&lt;&gt;0,0.1*E43/B43,0)</f>
        <v>1.0919529302742037</v>
      </c>
      <c r="M43" s="275">
        <f>CDCM!B4387*CDCM!$B155*10</f>
        <v>12437.286558686383</v>
      </c>
      <c r="N43" s="275">
        <f>CDCM!C4387*CDCM!$C155*10</f>
        <v>2480.3778611668968</v>
      </c>
      <c r="O43" s="275">
        <f>CDCM!D4387*CDCM!$D155*10</f>
        <v>0</v>
      </c>
      <c r="P43" s="289">
        <f>IF(E43&lt;&gt;0,$M43/E43,"")</f>
        <v>0.83372880691257079</v>
      </c>
      <c r="Q43" s="289">
        <f>IF(E43&lt;&gt;0,$N43/E43,"")</f>
        <v>0.16627119308742919</v>
      </c>
      <c r="R43" s="289">
        <f>IF(E43&lt;&gt;0,$O43/E43,"")</f>
        <v>0</v>
      </c>
      <c r="S43" s="289">
        <f>IF(D43&lt;&gt;0,$F43/D43,"")</f>
        <v>0.16674054753085621</v>
      </c>
      <c r="T43" s="289">
        <f>IF(D43&lt;&gt;0,$G43/D43,"")</f>
        <v>0</v>
      </c>
      <c r="U43" s="289">
        <f>IF(D43&lt;&gt;0,$H43/D43,"")</f>
        <v>0</v>
      </c>
      <c r="V43" s="289">
        <f>IF(D43&lt;&gt;0,$I43/D43,"")</f>
        <v>0</v>
      </c>
      <c r="W43" s="265"/>
    </row>
    <row r="44" spans="1:23">
      <c r="A44" s="288" t="s">
        <v>114</v>
      </c>
      <c r="W44" s="265"/>
    </row>
    <row r="45" spans="1:23">
      <c r="A45" s="285" t="s">
        <v>91</v>
      </c>
      <c r="B45" s="275">
        <f>CDCM!B157+CDCM!C157+CDCM!D157</f>
        <v>45959.708361578618</v>
      </c>
      <c r="C45" s="276">
        <f>CDCM!E157</f>
        <v>15622</v>
      </c>
      <c r="D45" s="275">
        <f>0.01*CDCM!F$14*(CDCM!$E4389*CDCM!E157+CDCM!$F4389*CDCM!F157+CDCM!$G4389*CDCM!G157)+10*(CDCM!$B4389*CDCM!B157+CDCM!$C4389*CDCM!C157+CDCM!$D4389*CDCM!D157+CDCM!$H4389*CDCM!H157)</f>
        <v>722946.21252763155</v>
      </c>
      <c r="E45" s="275">
        <f>10*(CDCM!$B4389*CDCM!B157+CDCM!$C4389*CDCM!C157+CDCM!$D4389*CDCM!D157)</f>
        <v>722946.21252763155</v>
      </c>
      <c r="F45" s="275">
        <f>CDCM!E4389*CDCM!$F$14*CDCM!$E157/100</f>
        <v>0</v>
      </c>
      <c r="G45" s="275">
        <f>CDCM!F4389*CDCM!$F$14*CDCM!$F157/100</f>
        <v>0</v>
      </c>
      <c r="H45" s="275">
        <f>CDCM!G4389*CDCM!$F$14*CDCM!$G157/100</f>
        <v>0</v>
      </c>
      <c r="I45" s="275">
        <f>CDCM!H4389*CDCM!$H157*10</f>
        <v>0</v>
      </c>
      <c r="J45" s="273">
        <f>IF(B45&lt;&gt;0,0.1*D45/B45,"")</f>
        <v>1.5729999999999997</v>
      </c>
      <c r="K45" s="278">
        <f>IF(C45&lt;&gt;0,D45/C45,"")</f>
        <v>46.277442870799611</v>
      </c>
      <c r="L45" s="273">
        <f>IF(B45&lt;&gt;0,0.1*E45/B45,0)</f>
        <v>1.5729999999999997</v>
      </c>
      <c r="M45" s="275">
        <f>CDCM!B4389*CDCM!$B157*10</f>
        <v>722946.21252763155</v>
      </c>
      <c r="N45" s="275">
        <f>CDCM!C4389*CDCM!$C157*10</f>
        <v>0</v>
      </c>
      <c r="O45" s="275">
        <f>CDCM!D4389*CDCM!$D157*10</f>
        <v>0</v>
      </c>
      <c r="P45" s="289">
        <f>IF(E45&lt;&gt;0,$M45/E45,"")</f>
        <v>1</v>
      </c>
      <c r="Q45" s="289">
        <f>IF(E45&lt;&gt;0,$N45/E45,"")</f>
        <v>0</v>
      </c>
      <c r="R45" s="289">
        <f>IF(E45&lt;&gt;0,$O45/E45,"")</f>
        <v>0</v>
      </c>
      <c r="S45" s="289">
        <f>IF(D45&lt;&gt;0,$F45/D45,"")</f>
        <v>0</v>
      </c>
      <c r="T45" s="289">
        <f>IF(D45&lt;&gt;0,$G45/D45,"")</f>
        <v>0</v>
      </c>
      <c r="U45" s="289">
        <f>IF(D45&lt;&gt;0,$H45/D45,"")</f>
        <v>0</v>
      </c>
      <c r="V45" s="289">
        <f>IF(D45&lt;&gt;0,$I45/D45,"")</f>
        <v>0</v>
      </c>
      <c r="W45" s="265"/>
    </row>
    <row r="46" spans="1:23">
      <c r="A46" s="285" t="s">
        <v>115</v>
      </c>
      <c r="B46" s="275">
        <f>CDCM!B158+CDCM!C158+CDCM!D158</f>
        <v>0</v>
      </c>
      <c r="C46" s="276">
        <f>CDCM!E158</f>
        <v>0</v>
      </c>
      <c r="D46" s="275">
        <f>0.01*CDCM!F$14*(CDCM!$E4390*CDCM!E158+CDCM!$F4390*CDCM!F158+CDCM!$G4390*CDCM!G158)+10*(CDCM!$B4390*CDCM!B158+CDCM!$C4390*CDCM!C158+CDCM!$D4390*CDCM!D158+CDCM!$H4390*CDCM!H158)</f>
        <v>0</v>
      </c>
      <c r="E46" s="275">
        <f>10*(CDCM!$B4390*CDCM!B158+CDCM!$C4390*CDCM!C158+CDCM!$D4390*CDCM!D158)</f>
        <v>0</v>
      </c>
      <c r="F46" s="275">
        <f>CDCM!E4390*CDCM!$F$14*CDCM!$E158/100</f>
        <v>0</v>
      </c>
      <c r="G46" s="275">
        <f>CDCM!F4390*CDCM!$F$14*CDCM!$F158/100</f>
        <v>0</v>
      </c>
      <c r="H46" s="275">
        <f>CDCM!G4390*CDCM!$F$14*CDCM!$G158/100</f>
        <v>0</v>
      </c>
      <c r="I46" s="275">
        <f>CDCM!H4390*CDCM!$H158*10</f>
        <v>0</v>
      </c>
      <c r="J46" s="273" t="str">
        <f>IF(B46&lt;&gt;0,0.1*D46/B46,"")</f>
        <v/>
      </c>
      <c r="K46" s="278" t="str">
        <f>IF(C46&lt;&gt;0,D46/C46,"")</f>
        <v/>
      </c>
      <c r="L46" s="273">
        <f>IF(B46&lt;&gt;0,0.1*E46/B46,0)</f>
        <v>0</v>
      </c>
      <c r="M46" s="275">
        <f>CDCM!B4390*CDCM!$B158*10</f>
        <v>0</v>
      </c>
      <c r="N46" s="275">
        <f>CDCM!C4390*CDCM!$C158*10</f>
        <v>0</v>
      </c>
      <c r="O46" s="275">
        <f>CDCM!D4390*CDCM!$D158*10</f>
        <v>0</v>
      </c>
      <c r="P46" s="289" t="str">
        <f>IF(E46&lt;&gt;0,$M46/E46,"")</f>
        <v/>
      </c>
      <c r="Q46" s="289" t="str">
        <f>IF(E46&lt;&gt;0,$N46/E46,"")</f>
        <v/>
      </c>
      <c r="R46" s="289" t="str">
        <f>IF(E46&lt;&gt;0,$O46/E46,"")</f>
        <v/>
      </c>
      <c r="S46" s="289" t="str">
        <f>IF(D46&lt;&gt;0,$F46/D46,"")</f>
        <v/>
      </c>
      <c r="T46" s="289" t="str">
        <f>IF(D46&lt;&gt;0,$G46/D46,"")</f>
        <v/>
      </c>
      <c r="U46" s="289" t="str">
        <f>IF(D46&lt;&gt;0,$H46/D46,"")</f>
        <v/>
      </c>
      <c r="V46" s="289" t="str">
        <f>IF(D46&lt;&gt;0,$I46/D46,"")</f>
        <v/>
      </c>
      <c r="W46" s="265"/>
    </row>
    <row r="47" spans="1:23">
      <c r="A47" s="285" t="s">
        <v>116</v>
      </c>
      <c r="B47" s="275">
        <f>CDCM!B159+CDCM!C159+CDCM!D159</f>
        <v>0</v>
      </c>
      <c r="C47" s="276">
        <f>CDCM!E159</f>
        <v>0</v>
      </c>
      <c r="D47" s="275">
        <f>0.01*CDCM!F$14*(CDCM!$E4391*CDCM!E159+CDCM!$F4391*CDCM!F159+CDCM!$G4391*CDCM!G159)+10*(CDCM!$B4391*CDCM!B159+CDCM!$C4391*CDCM!C159+CDCM!$D4391*CDCM!D159+CDCM!$H4391*CDCM!H159)</f>
        <v>0</v>
      </c>
      <c r="E47" s="275">
        <f>10*(CDCM!$B4391*CDCM!B159+CDCM!$C4391*CDCM!C159+CDCM!$D4391*CDCM!D159)</f>
        <v>0</v>
      </c>
      <c r="F47" s="275">
        <f>CDCM!E4391*CDCM!$F$14*CDCM!$E159/100</f>
        <v>0</v>
      </c>
      <c r="G47" s="275">
        <f>CDCM!F4391*CDCM!$F$14*CDCM!$F159/100</f>
        <v>0</v>
      </c>
      <c r="H47" s="275">
        <f>CDCM!G4391*CDCM!$F$14*CDCM!$G159/100</f>
        <v>0</v>
      </c>
      <c r="I47" s="275">
        <f>CDCM!H4391*CDCM!$H159*10</f>
        <v>0</v>
      </c>
      <c r="J47" s="273" t="str">
        <f>IF(B47&lt;&gt;0,0.1*D47/B47,"")</f>
        <v/>
      </c>
      <c r="K47" s="278" t="str">
        <f>IF(C47&lt;&gt;0,D47/C47,"")</f>
        <v/>
      </c>
      <c r="L47" s="273">
        <f>IF(B47&lt;&gt;0,0.1*E47/B47,0)</f>
        <v>0</v>
      </c>
      <c r="M47" s="275">
        <f>CDCM!B4391*CDCM!$B159*10</f>
        <v>0</v>
      </c>
      <c r="N47" s="275">
        <f>CDCM!C4391*CDCM!$C159*10</f>
        <v>0</v>
      </c>
      <c r="O47" s="275">
        <f>CDCM!D4391*CDCM!$D159*10</f>
        <v>0</v>
      </c>
      <c r="P47" s="289" t="str">
        <f>IF(E47&lt;&gt;0,$M47/E47,"")</f>
        <v/>
      </c>
      <c r="Q47" s="289" t="str">
        <f>IF(E47&lt;&gt;0,$N47/E47,"")</f>
        <v/>
      </c>
      <c r="R47" s="289" t="str">
        <f>IF(E47&lt;&gt;0,$O47/E47,"")</f>
        <v/>
      </c>
      <c r="S47" s="289" t="str">
        <f>IF(D47&lt;&gt;0,$F47/D47,"")</f>
        <v/>
      </c>
      <c r="T47" s="289" t="str">
        <f>IF(D47&lt;&gt;0,$G47/D47,"")</f>
        <v/>
      </c>
      <c r="U47" s="289" t="str">
        <f>IF(D47&lt;&gt;0,$H47/D47,"")</f>
        <v/>
      </c>
      <c r="V47" s="289" t="str">
        <f>IF(D47&lt;&gt;0,$I47/D47,"")</f>
        <v/>
      </c>
      <c r="W47" s="265"/>
    </row>
    <row r="48" spans="1:23">
      <c r="A48" s="288" t="s">
        <v>117</v>
      </c>
      <c r="W48" s="265"/>
    </row>
    <row r="49" spans="1:23">
      <c r="A49" s="285" t="s">
        <v>56</v>
      </c>
      <c r="B49" s="275">
        <f>CDCM!B161+CDCM!C161+CDCM!D161</f>
        <v>1179331.5292248435</v>
      </c>
      <c r="C49" s="276">
        <f>CDCM!E161</f>
        <v>110093.23974331518</v>
      </c>
      <c r="D49" s="275">
        <f>0.01*CDCM!F$14*(CDCM!$E4393*CDCM!E161+CDCM!$F4393*CDCM!F161+CDCM!$G4393*CDCM!G161)+10*(CDCM!$B4393*CDCM!B161+CDCM!$C4393*CDCM!C161+CDCM!$D4393*CDCM!D161+CDCM!$H4393*CDCM!H161)</f>
        <v>36248314.458403714</v>
      </c>
      <c r="E49" s="275">
        <f>10*(CDCM!$B4393*CDCM!B161+CDCM!$C4393*CDCM!C161+CDCM!$D4393*CDCM!D161)</f>
        <v>32466996.999559943</v>
      </c>
      <c r="F49" s="275">
        <f>CDCM!E4393*CDCM!$F$14*CDCM!$E161/100</f>
        <v>3781317.4588437746</v>
      </c>
      <c r="G49" s="275">
        <f>CDCM!F4393*CDCM!$F$14*CDCM!$F161/100</f>
        <v>0</v>
      </c>
      <c r="H49" s="275">
        <f>CDCM!G4393*CDCM!$F$14*CDCM!$G161/100</f>
        <v>0</v>
      </c>
      <c r="I49" s="275">
        <f>CDCM!H4393*CDCM!$H161*10</f>
        <v>0</v>
      </c>
      <c r="J49" s="273">
        <f>IF(B49&lt;&gt;0,0.1*D49/B49,"")</f>
        <v>3.0736322704972689</v>
      </c>
      <c r="K49" s="278">
        <f>IF(C49&lt;&gt;0,D49/C49,"")</f>
        <v>329.25104704809723</v>
      </c>
      <c r="L49" s="273">
        <f>IF(B49&lt;&gt;0,0.1*E49/B49,0)</f>
        <v>2.7530000000000001</v>
      </c>
      <c r="M49" s="275">
        <f>CDCM!B4393*CDCM!$B161*10</f>
        <v>32466996.999559943</v>
      </c>
      <c r="N49" s="275">
        <f>CDCM!C4393*CDCM!$C161*10</f>
        <v>0</v>
      </c>
      <c r="O49" s="275">
        <f>CDCM!D4393*CDCM!$D161*10</f>
        <v>0</v>
      </c>
      <c r="P49" s="289">
        <f>IF(E49&lt;&gt;0,$M49/E49,"")</f>
        <v>1</v>
      </c>
      <c r="Q49" s="289">
        <f>IF(E49&lt;&gt;0,$N49/E49,"")</f>
        <v>0</v>
      </c>
      <c r="R49" s="289">
        <f>IF(E49&lt;&gt;0,$O49/E49,"")</f>
        <v>0</v>
      </c>
      <c r="S49" s="289">
        <f>IF(D49&lt;&gt;0,$F49/D49,"")</f>
        <v>0.10431705626431201</v>
      </c>
      <c r="T49" s="289">
        <f>IF(D49&lt;&gt;0,$G49/D49,"")</f>
        <v>0</v>
      </c>
      <c r="U49" s="289">
        <f>IF(D49&lt;&gt;0,$H49/D49,"")</f>
        <v>0</v>
      </c>
      <c r="V49" s="289">
        <f>IF(D49&lt;&gt;0,$I49/D49,"")</f>
        <v>0</v>
      </c>
      <c r="W49" s="265"/>
    </row>
    <row r="50" spans="1:23">
      <c r="A50" s="285" t="s">
        <v>118</v>
      </c>
      <c r="B50" s="275">
        <f>CDCM!B162+CDCM!C162+CDCM!D162</f>
        <v>788.43675949137935</v>
      </c>
      <c r="C50" s="276">
        <f>CDCM!E162</f>
        <v>127.831401369863</v>
      </c>
      <c r="D50" s="275">
        <f>0.01*CDCM!F$14*(CDCM!$E4394*CDCM!E162+CDCM!$F4394*CDCM!F162+CDCM!$G4394*CDCM!G162)+10*(CDCM!$B4394*CDCM!B162+CDCM!$C4394*CDCM!C162+CDCM!$D4394*CDCM!D162+CDCM!$H4394*CDCM!H162)</f>
        <v>16369.152064916121</v>
      </c>
      <c r="E50" s="275">
        <f>10*(CDCM!$B4394*CDCM!B162+CDCM!$C4394*CDCM!C162+CDCM!$D4394*CDCM!D162)</f>
        <v>13616.302836416122</v>
      </c>
      <c r="F50" s="275">
        <f>CDCM!E4394*CDCM!$F$14*CDCM!$E162/100</f>
        <v>2752.8492284999998</v>
      </c>
      <c r="G50" s="275">
        <f>CDCM!F4394*CDCM!$F$14*CDCM!$F162/100</f>
        <v>0</v>
      </c>
      <c r="H50" s="275">
        <f>CDCM!G4394*CDCM!$F$14*CDCM!$G162/100</f>
        <v>0</v>
      </c>
      <c r="I50" s="275">
        <f>CDCM!H4394*CDCM!$H162*10</f>
        <v>0</v>
      </c>
      <c r="J50" s="273">
        <f>IF(B50&lt;&gt;0,0.1*D50/B50,"")</f>
        <v>2.076152826191902</v>
      </c>
      <c r="K50" s="278">
        <f>IF(C50&lt;&gt;0,D50/C50,"")</f>
        <v>128.05266851103491</v>
      </c>
      <c r="L50" s="273">
        <f>IF(B50&lt;&gt;0,0.1*E50/B50,0)</f>
        <v>1.7270000000000003</v>
      </c>
      <c r="M50" s="275">
        <f>CDCM!B4394*CDCM!$B162*10</f>
        <v>13616.302836416122</v>
      </c>
      <c r="N50" s="275">
        <f>CDCM!C4394*CDCM!$C162*10</f>
        <v>0</v>
      </c>
      <c r="O50" s="275">
        <f>CDCM!D4394*CDCM!$D162*10</f>
        <v>0</v>
      </c>
      <c r="P50" s="289">
        <f>IF(E50&lt;&gt;0,$M50/E50,"")</f>
        <v>1</v>
      </c>
      <c r="Q50" s="289">
        <f>IF(E50&lt;&gt;0,$N50/E50,"")</f>
        <v>0</v>
      </c>
      <c r="R50" s="289">
        <f>IF(E50&lt;&gt;0,$O50/E50,"")</f>
        <v>0</v>
      </c>
      <c r="S50" s="289">
        <f>IF(D50&lt;&gt;0,$F50/D50,"")</f>
        <v>0.16817298889904997</v>
      </c>
      <c r="T50" s="289">
        <f>IF(D50&lt;&gt;0,$G50/D50,"")</f>
        <v>0</v>
      </c>
      <c r="U50" s="289">
        <f>IF(D50&lt;&gt;0,$H50/D50,"")</f>
        <v>0</v>
      </c>
      <c r="V50" s="289">
        <f>IF(D50&lt;&gt;0,$I50/D50,"")</f>
        <v>0</v>
      </c>
      <c r="W50" s="265"/>
    </row>
    <row r="51" spans="1:23">
      <c r="A51" s="285" t="s">
        <v>119</v>
      </c>
      <c r="B51" s="275">
        <f>CDCM!B163+CDCM!C163+CDCM!D163</f>
        <v>7392.7733794913811</v>
      </c>
      <c r="C51" s="276">
        <f>CDCM!E163</f>
        <v>462.20062191780835</v>
      </c>
      <c r="D51" s="275">
        <f>0.01*CDCM!F$14*(CDCM!$E4395*CDCM!E163+CDCM!$F4395*CDCM!F163+CDCM!$G4395*CDCM!G163)+10*(CDCM!$B4395*CDCM!B163+CDCM!$C4395*CDCM!C163+CDCM!$D4395*CDCM!D163+CDCM!$H4395*CDCM!H163)</f>
        <v>83606.638600164573</v>
      </c>
      <c r="E51" s="275">
        <f>10*(CDCM!$B4395*CDCM!B163+CDCM!$C4395*CDCM!C163+CDCM!$D4395*CDCM!D163)</f>
        <v>77550.192750864575</v>
      </c>
      <c r="F51" s="275">
        <f>CDCM!E4395*CDCM!$F$14*CDCM!$E163/100</f>
        <v>6056.4458493000011</v>
      </c>
      <c r="G51" s="275">
        <f>CDCM!F4395*CDCM!$F$14*CDCM!$F163/100</f>
        <v>0</v>
      </c>
      <c r="H51" s="275">
        <f>CDCM!G4395*CDCM!$F$14*CDCM!$G163/100</f>
        <v>0</v>
      </c>
      <c r="I51" s="275">
        <f>CDCM!H4395*CDCM!$H163*10</f>
        <v>0</v>
      </c>
      <c r="J51" s="273">
        <f>IF(B51&lt;&gt;0,0.1*D51/B51,"")</f>
        <v>1.1309238672471882</v>
      </c>
      <c r="K51" s="278">
        <f>IF(C51&lt;&gt;0,D51/C51,"")</f>
        <v>180.88820013537773</v>
      </c>
      <c r="L51" s="273">
        <f>IF(B51&lt;&gt;0,0.1*E51/B51,0)</f>
        <v>1.0489999999999999</v>
      </c>
      <c r="M51" s="275">
        <f>CDCM!B4395*CDCM!$B163*10</f>
        <v>77550.192750864575</v>
      </c>
      <c r="N51" s="275">
        <f>CDCM!C4395*CDCM!$C163*10</f>
        <v>0</v>
      </c>
      <c r="O51" s="275">
        <f>CDCM!D4395*CDCM!$D163*10</f>
        <v>0</v>
      </c>
      <c r="P51" s="289">
        <f>IF(E51&lt;&gt;0,$M51/E51,"")</f>
        <v>1</v>
      </c>
      <c r="Q51" s="289">
        <f>IF(E51&lt;&gt;0,$N51/E51,"")</f>
        <v>0</v>
      </c>
      <c r="R51" s="289">
        <f>IF(E51&lt;&gt;0,$O51/E51,"")</f>
        <v>0</v>
      </c>
      <c r="S51" s="289">
        <f>IF(D51&lt;&gt;0,$F51/D51,"")</f>
        <v>7.2439772136564273E-2</v>
      </c>
      <c r="T51" s="289">
        <f>IF(D51&lt;&gt;0,$G51/D51,"")</f>
        <v>0</v>
      </c>
      <c r="U51" s="289">
        <f>IF(D51&lt;&gt;0,$H51/D51,"")</f>
        <v>0</v>
      </c>
      <c r="V51" s="289">
        <f>IF(D51&lt;&gt;0,$I51/D51,"")</f>
        <v>0</v>
      </c>
      <c r="W51" s="265"/>
    </row>
    <row r="52" spans="1:23">
      <c r="A52" s="288" t="s">
        <v>120</v>
      </c>
      <c r="W52" s="265"/>
    </row>
    <row r="53" spans="1:23">
      <c r="A53" s="285" t="s">
        <v>57</v>
      </c>
      <c r="B53" s="275">
        <f>CDCM!B165+CDCM!C165+CDCM!D165</f>
        <v>577668.88512944686</v>
      </c>
      <c r="C53" s="276">
        <f>CDCM!E165</f>
        <v>29443.268260965255</v>
      </c>
      <c r="D53" s="275">
        <f>0.01*CDCM!F$14*(CDCM!$E4397*CDCM!E165+CDCM!$F4397*CDCM!F165+CDCM!$G4397*CDCM!G165)+10*(CDCM!$B4397*CDCM!B165+CDCM!$C4397*CDCM!C165+CDCM!$D4397*CDCM!D165+CDCM!$H4397*CDCM!H165)</f>
        <v>15674781.813984763</v>
      </c>
      <c r="E53" s="275">
        <f>10*(CDCM!$B4397*CDCM!B165+CDCM!$C4397*CDCM!C165+CDCM!$D4397*CDCM!D165)</f>
        <v>14663508.600659519</v>
      </c>
      <c r="F53" s="275">
        <f>CDCM!E4397*CDCM!$F$14*CDCM!$E165/100</f>
        <v>1011273.2133252431</v>
      </c>
      <c r="G53" s="275">
        <f>CDCM!F4397*CDCM!$F$14*CDCM!$F165/100</f>
        <v>0</v>
      </c>
      <c r="H53" s="275">
        <f>CDCM!G4397*CDCM!$F$14*CDCM!$G165/100</f>
        <v>0</v>
      </c>
      <c r="I53" s="275">
        <f>CDCM!H4397*CDCM!$H165*10</f>
        <v>0</v>
      </c>
      <c r="J53" s="273">
        <f>IF(B53&lt;&gt;0,0.1*D53/B53,"")</f>
        <v>2.7134544057141459</v>
      </c>
      <c r="K53" s="278">
        <f>IF(C53&lt;&gt;0,D53/C53,"")</f>
        <v>532.37234654298834</v>
      </c>
      <c r="L53" s="273">
        <f>IF(B53&lt;&gt;0,0.1*E53/B53,0)</f>
        <v>2.5383933561478993</v>
      </c>
      <c r="M53" s="275">
        <f>CDCM!B4397*CDCM!$B165*10</f>
        <v>11753288.491606059</v>
      </c>
      <c r="N53" s="275">
        <f>CDCM!C4397*CDCM!$C165*10</f>
        <v>2910220.1090534613</v>
      </c>
      <c r="O53" s="275">
        <f>CDCM!D4397*CDCM!$D165*10</f>
        <v>0</v>
      </c>
      <c r="P53" s="289">
        <f>IF(E53&lt;&gt;0,$M53/E53,"")</f>
        <v>0.80153316724466828</v>
      </c>
      <c r="Q53" s="289">
        <f>IF(E53&lt;&gt;0,$N53/E53,"")</f>
        <v>0.19846683275533172</v>
      </c>
      <c r="R53" s="289">
        <f>IF(E53&lt;&gt;0,$O53/E53,"")</f>
        <v>0</v>
      </c>
      <c r="S53" s="289">
        <f>IF(D53&lt;&gt;0,$F53/D53,"")</f>
        <v>6.4515935553438014E-2</v>
      </c>
      <c r="T53" s="289">
        <f>IF(D53&lt;&gt;0,$G53/D53,"")</f>
        <v>0</v>
      </c>
      <c r="U53" s="289">
        <f>IF(D53&lt;&gt;0,$H53/D53,"")</f>
        <v>0</v>
      </c>
      <c r="V53" s="289">
        <f>IF(D53&lt;&gt;0,$I53/D53,"")</f>
        <v>0</v>
      </c>
      <c r="W53" s="265"/>
    </row>
    <row r="54" spans="1:23">
      <c r="A54" s="285" t="s">
        <v>121</v>
      </c>
      <c r="B54" s="275">
        <f>CDCM!B166+CDCM!C166+CDCM!D166</f>
        <v>58.568605525862068</v>
      </c>
      <c r="C54" s="276">
        <f>CDCM!E166</f>
        <v>2.757156164383562</v>
      </c>
      <c r="D54" s="275">
        <f>0.01*CDCM!F$14*(CDCM!$E4398*CDCM!E166+CDCM!$F4398*CDCM!F166+CDCM!$G4398*CDCM!G166)+10*(CDCM!$B4398*CDCM!B166+CDCM!$C4398*CDCM!C166+CDCM!$D4398*CDCM!D166+CDCM!$H4398*CDCM!H166)</f>
        <v>1002.8355786659483</v>
      </c>
      <c r="E54" s="275">
        <f>10*(CDCM!$B4398*CDCM!B166+CDCM!$C4398*CDCM!C166+CDCM!$D4398*CDCM!D166)</f>
        <v>943.46022066594833</v>
      </c>
      <c r="F54" s="275">
        <f>CDCM!E4398*CDCM!$F$14*CDCM!$E166/100</f>
        <v>59.375358000000006</v>
      </c>
      <c r="G54" s="275">
        <f>CDCM!F4398*CDCM!$F$14*CDCM!$F166/100</f>
        <v>0</v>
      </c>
      <c r="H54" s="275">
        <f>CDCM!G4398*CDCM!$F$14*CDCM!$G166/100</f>
        <v>0</v>
      </c>
      <c r="I54" s="275">
        <f>CDCM!H4398*CDCM!$H166*10</f>
        <v>0</v>
      </c>
      <c r="J54" s="273">
        <f>IF(B54&lt;&gt;0,0.1*D54/B54,"")</f>
        <v>1.712240832203402</v>
      </c>
      <c r="K54" s="278">
        <f>IF(C54&lt;&gt;0,D54/C54,"")</f>
        <v>363.72099325398921</v>
      </c>
      <c r="L54" s="273">
        <f>IF(B54&lt;&gt;0,0.1*E54/B54,0)</f>
        <v>1.6108633835397461</v>
      </c>
      <c r="M54" s="275">
        <f>CDCM!B4398*CDCM!$B166*10</f>
        <v>770.97194054456895</v>
      </c>
      <c r="N54" s="275">
        <f>CDCM!C4398*CDCM!$C166*10</f>
        <v>172.48828012137935</v>
      </c>
      <c r="O54" s="275">
        <f>CDCM!D4398*CDCM!$D166*10</f>
        <v>0</v>
      </c>
      <c r="P54" s="289">
        <f>IF(E54&lt;&gt;0,$M54/E54,"")</f>
        <v>0.81717482481706838</v>
      </c>
      <c r="Q54" s="289">
        <f>IF(E54&lt;&gt;0,$N54/E54,"")</f>
        <v>0.18282517518293165</v>
      </c>
      <c r="R54" s="289">
        <f>IF(E54&lt;&gt;0,$O54/E54,"")</f>
        <v>0</v>
      </c>
      <c r="S54" s="289">
        <f>IF(D54&lt;&gt;0,$F54/D54,"")</f>
        <v>5.9207470559616393E-2</v>
      </c>
      <c r="T54" s="289">
        <f>IF(D54&lt;&gt;0,$G54/D54,"")</f>
        <v>0</v>
      </c>
      <c r="U54" s="289">
        <f>IF(D54&lt;&gt;0,$H54/D54,"")</f>
        <v>0</v>
      </c>
      <c r="V54" s="289">
        <f>IF(D54&lt;&gt;0,$I54/D54,"")</f>
        <v>0</v>
      </c>
      <c r="W54" s="265"/>
    </row>
    <row r="55" spans="1:23">
      <c r="A55" s="285" t="s">
        <v>122</v>
      </c>
      <c r="B55" s="275">
        <f>CDCM!B167+CDCM!C167+CDCM!D167</f>
        <v>1186.5778513448276</v>
      </c>
      <c r="C55" s="276">
        <f>CDCM!E167</f>
        <v>23.554836986301375</v>
      </c>
      <c r="D55" s="275">
        <f>0.01*CDCM!F$14*(CDCM!$E4399*CDCM!E167+CDCM!$F4399*CDCM!F167+CDCM!$G4399*CDCM!G167)+10*(CDCM!$B4399*CDCM!B167+CDCM!$C4399*CDCM!C167+CDCM!$D4399*CDCM!D167+CDCM!$H4399*CDCM!H167)</f>
        <v>12405.82837645707</v>
      </c>
      <c r="E55" s="275">
        <f>10*(CDCM!$B4399*CDCM!B167+CDCM!$C4399*CDCM!C167+CDCM!$D4399*CDCM!D167)</f>
        <v>12097.17757000707</v>
      </c>
      <c r="F55" s="275">
        <f>CDCM!E4399*CDCM!$F$14*CDCM!$E167/100</f>
        <v>308.65080645000006</v>
      </c>
      <c r="G55" s="275">
        <f>CDCM!F4399*CDCM!$F$14*CDCM!$F167/100</f>
        <v>0</v>
      </c>
      <c r="H55" s="275">
        <f>CDCM!G4399*CDCM!$F$14*CDCM!$G167/100</f>
        <v>0</v>
      </c>
      <c r="I55" s="275">
        <f>CDCM!H4399*CDCM!$H167*10</f>
        <v>0</v>
      </c>
      <c r="J55" s="273">
        <f>IF(B55&lt;&gt;0,0.1*D55/B55,"")</f>
        <v>1.0455132263253288</v>
      </c>
      <c r="K55" s="278">
        <f>IF(C55&lt;&gt;0,D55/C55,"")</f>
        <v>526.67859190330387</v>
      </c>
      <c r="L55" s="273">
        <f>IF(B55&lt;&gt;0,0.1*E55/B55,0)</f>
        <v>1.0195013800650783</v>
      </c>
      <c r="M55" s="275">
        <f>CDCM!B4399*CDCM!$B167*10</f>
        <v>10522.187312251035</v>
      </c>
      <c r="N55" s="275">
        <f>CDCM!C4399*CDCM!$C167*10</f>
        <v>1574.9902577560347</v>
      </c>
      <c r="O55" s="275">
        <f>CDCM!D4399*CDCM!$D167*10</f>
        <v>0</v>
      </c>
      <c r="P55" s="289">
        <f>IF(E55&lt;&gt;0,$M55/E55,"")</f>
        <v>0.86980514680871013</v>
      </c>
      <c r="Q55" s="289">
        <f>IF(E55&lt;&gt;0,$N55/E55,"")</f>
        <v>0.13019485319128982</v>
      </c>
      <c r="R55" s="289">
        <f>IF(E55&lt;&gt;0,$O55/E55,"")</f>
        <v>0</v>
      </c>
      <c r="S55" s="289">
        <f>IF(D55&lt;&gt;0,$F55/D55,"")</f>
        <v>2.4879499948245003E-2</v>
      </c>
      <c r="T55" s="289">
        <f>IF(D55&lt;&gt;0,$G55/D55,"")</f>
        <v>0</v>
      </c>
      <c r="U55" s="289">
        <f>IF(D55&lt;&gt;0,$H55/D55,"")</f>
        <v>0</v>
      </c>
      <c r="V55" s="289">
        <f>IF(D55&lt;&gt;0,$I55/D55,"")</f>
        <v>0</v>
      </c>
      <c r="W55" s="265"/>
    </row>
    <row r="56" spans="1:23">
      <c r="A56" s="288" t="s">
        <v>123</v>
      </c>
      <c r="W56" s="265"/>
    </row>
    <row r="57" spans="1:23">
      <c r="A57" s="285" t="s">
        <v>92</v>
      </c>
      <c r="B57" s="275">
        <f>CDCM!B169+CDCM!C169+CDCM!D169</f>
        <v>17319.819478475714</v>
      </c>
      <c r="C57" s="276">
        <f>CDCM!E169</f>
        <v>3339</v>
      </c>
      <c r="D57" s="275">
        <f>0.01*CDCM!F$14*(CDCM!$E4401*CDCM!E169+CDCM!$F4401*CDCM!F169+CDCM!$G4401*CDCM!G169)+10*(CDCM!$B4401*CDCM!B169+CDCM!$C4401*CDCM!C169+CDCM!$D4401*CDCM!D169+CDCM!$H4401*CDCM!H169)</f>
        <v>273999.54414948582</v>
      </c>
      <c r="E57" s="275">
        <f>10*(CDCM!$B4401*CDCM!B169+CDCM!$C4401*CDCM!C169+CDCM!$D4401*CDCM!D169)</f>
        <v>273999.54414948582</v>
      </c>
      <c r="F57" s="275">
        <f>CDCM!E4401*CDCM!$F$14*CDCM!$E169/100</f>
        <v>0</v>
      </c>
      <c r="G57" s="275">
        <f>CDCM!F4401*CDCM!$F$14*CDCM!$F169/100</f>
        <v>0</v>
      </c>
      <c r="H57" s="275">
        <f>CDCM!G4401*CDCM!$F$14*CDCM!$G169/100</f>
        <v>0</v>
      </c>
      <c r="I57" s="275">
        <f>CDCM!H4401*CDCM!$H169*10</f>
        <v>0</v>
      </c>
      <c r="J57" s="273">
        <f>IF(B57&lt;&gt;0,0.1*D57/B57,"")</f>
        <v>1.5820000000000003</v>
      </c>
      <c r="K57" s="278">
        <f>IF(C57&lt;&gt;0,D57/C57,"")</f>
        <v>82.060360631771729</v>
      </c>
      <c r="L57" s="273">
        <f>IF(B57&lt;&gt;0,0.1*E57/B57,0)</f>
        <v>1.5820000000000003</v>
      </c>
      <c r="M57" s="275">
        <f>CDCM!B4401*CDCM!$B169*10</f>
        <v>273999.54414948582</v>
      </c>
      <c r="N57" s="275">
        <f>CDCM!C4401*CDCM!$C169*10</f>
        <v>0</v>
      </c>
      <c r="O57" s="275">
        <f>CDCM!D4401*CDCM!$D169*10</f>
        <v>0</v>
      </c>
      <c r="P57" s="289">
        <f>IF(E57&lt;&gt;0,$M57/E57,"")</f>
        <v>1</v>
      </c>
      <c r="Q57" s="289">
        <f>IF(E57&lt;&gt;0,$N57/E57,"")</f>
        <v>0</v>
      </c>
      <c r="R57" s="289">
        <f>IF(E57&lt;&gt;0,$O57/E57,"")</f>
        <v>0</v>
      </c>
      <c r="S57" s="289">
        <f>IF(D57&lt;&gt;0,$F57/D57,"")</f>
        <v>0</v>
      </c>
      <c r="T57" s="289">
        <f>IF(D57&lt;&gt;0,$G57/D57,"")</f>
        <v>0</v>
      </c>
      <c r="U57" s="289">
        <f>IF(D57&lt;&gt;0,$H57/D57,"")</f>
        <v>0</v>
      </c>
      <c r="V57" s="289">
        <f>IF(D57&lt;&gt;0,$I57/D57,"")</f>
        <v>0</v>
      </c>
      <c r="W57" s="265"/>
    </row>
    <row r="58" spans="1:23" ht="30">
      <c r="A58" s="285" t="s">
        <v>124</v>
      </c>
      <c r="B58" s="275">
        <f>CDCM!B170+CDCM!C170+CDCM!D170</f>
        <v>0</v>
      </c>
      <c r="C58" s="276">
        <f>CDCM!E170</f>
        <v>0</v>
      </c>
      <c r="D58" s="275">
        <f>0.01*CDCM!F$14*(CDCM!$E4402*CDCM!E170+CDCM!$F4402*CDCM!F170+CDCM!$G4402*CDCM!G170)+10*(CDCM!$B4402*CDCM!B170+CDCM!$C4402*CDCM!C170+CDCM!$D4402*CDCM!D170+CDCM!$H4402*CDCM!H170)</f>
        <v>0</v>
      </c>
      <c r="E58" s="275">
        <f>10*(CDCM!$B4402*CDCM!B170+CDCM!$C4402*CDCM!C170+CDCM!$D4402*CDCM!D170)</f>
        <v>0</v>
      </c>
      <c r="F58" s="275">
        <f>CDCM!E4402*CDCM!$F$14*CDCM!$E170/100</f>
        <v>0</v>
      </c>
      <c r="G58" s="275">
        <f>CDCM!F4402*CDCM!$F$14*CDCM!$F170/100</f>
        <v>0</v>
      </c>
      <c r="H58" s="275">
        <f>CDCM!G4402*CDCM!$F$14*CDCM!$G170/100</f>
        <v>0</v>
      </c>
      <c r="I58" s="275">
        <f>CDCM!H4402*CDCM!$H170*10</f>
        <v>0</v>
      </c>
      <c r="J58" s="273" t="str">
        <f>IF(B58&lt;&gt;0,0.1*D58/B58,"")</f>
        <v/>
      </c>
      <c r="K58" s="278" t="str">
        <f>IF(C58&lt;&gt;0,D58/C58,"")</f>
        <v/>
      </c>
      <c r="L58" s="273">
        <f>IF(B58&lt;&gt;0,0.1*E58/B58,0)</f>
        <v>0</v>
      </c>
      <c r="M58" s="275">
        <f>CDCM!B4402*CDCM!$B170*10</f>
        <v>0</v>
      </c>
      <c r="N58" s="275">
        <f>CDCM!C4402*CDCM!$C170*10</f>
        <v>0</v>
      </c>
      <c r="O58" s="275">
        <f>CDCM!D4402*CDCM!$D170*10</f>
        <v>0</v>
      </c>
      <c r="P58" s="289" t="str">
        <f>IF(E58&lt;&gt;0,$M58/E58,"")</f>
        <v/>
      </c>
      <c r="Q58" s="289" t="str">
        <f>IF(E58&lt;&gt;0,$N58/E58,"")</f>
        <v/>
      </c>
      <c r="R58" s="289" t="str">
        <f>IF(E58&lt;&gt;0,$O58/E58,"")</f>
        <v/>
      </c>
      <c r="S58" s="289" t="str">
        <f>IF(D58&lt;&gt;0,$F58/D58,"")</f>
        <v/>
      </c>
      <c r="T58" s="289" t="str">
        <f>IF(D58&lt;&gt;0,$G58/D58,"")</f>
        <v/>
      </c>
      <c r="U58" s="289" t="str">
        <f>IF(D58&lt;&gt;0,$H58/D58,"")</f>
        <v/>
      </c>
      <c r="V58" s="289" t="str">
        <f>IF(D58&lt;&gt;0,$I58/D58,"")</f>
        <v/>
      </c>
      <c r="W58" s="265"/>
    </row>
    <row r="59" spans="1:23" ht="30">
      <c r="A59" s="285" t="s">
        <v>125</v>
      </c>
      <c r="B59" s="275">
        <f>CDCM!B171+CDCM!C171+CDCM!D171</f>
        <v>0</v>
      </c>
      <c r="C59" s="276">
        <f>CDCM!E171</f>
        <v>0</v>
      </c>
      <c r="D59" s="275">
        <f>0.01*CDCM!F$14*(CDCM!$E4403*CDCM!E171+CDCM!$F4403*CDCM!F171+CDCM!$G4403*CDCM!G171)+10*(CDCM!$B4403*CDCM!B171+CDCM!$C4403*CDCM!C171+CDCM!$D4403*CDCM!D171+CDCM!$H4403*CDCM!H171)</f>
        <v>0</v>
      </c>
      <c r="E59" s="275">
        <f>10*(CDCM!$B4403*CDCM!B171+CDCM!$C4403*CDCM!C171+CDCM!$D4403*CDCM!D171)</f>
        <v>0</v>
      </c>
      <c r="F59" s="275">
        <f>CDCM!E4403*CDCM!$F$14*CDCM!$E171/100</f>
        <v>0</v>
      </c>
      <c r="G59" s="275">
        <f>CDCM!F4403*CDCM!$F$14*CDCM!$F171/100</f>
        <v>0</v>
      </c>
      <c r="H59" s="275">
        <f>CDCM!G4403*CDCM!$F$14*CDCM!$G171/100</f>
        <v>0</v>
      </c>
      <c r="I59" s="275">
        <f>CDCM!H4403*CDCM!$H171*10</f>
        <v>0</v>
      </c>
      <c r="J59" s="273" t="str">
        <f>IF(B59&lt;&gt;0,0.1*D59/B59,"")</f>
        <v/>
      </c>
      <c r="K59" s="278" t="str">
        <f>IF(C59&lt;&gt;0,D59/C59,"")</f>
        <v/>
      </c>
      <c r="L59" s="273">
        <f>IF(B59&lt;&gt;0,0.1*E59/B59,0)</f>
        <v>0</v>
      </c>
      <c r="M59" s="275">
        <f>CDCM!B4403*CDCM!$B171*10</f>
        <v>0</v>
      </c>
      <c r="N59" s="275">
        <f>CDCM!C4403*CDCM!$C171*10</f>
        <v>0</v>
      </c>
      <c r="O59" s="275">
        <f>CDCM!D4403*CDCM!$D171*10</f>
        <v>0</v>
      </c>
      <c r="P59" s="289" t="str">
        <f>IF(E59&lt;&gt;0,$M59/E59,"")</f>
        <v/>
      </c>
      <c r="Q59" s="289" t="str">
        <f>IF(E59&lt;&gt;0,$N59/E59,"")</f>
        <v/>
      </c>
      <c r="R59" s="289" t="str">
        <f>IF(E59&lt;&gt;0,$O59/E59,"")</f>
        <v/>
      </c>
      <c r="S59" s="289" t="str">
        <f>IF(D59&lt;&gt;0,$F59/D59,"")</f>
        <v/>
      </c>
      <c r="T59" s="289" t="str">
        <f>IF(D59&lt;&gt;0,$G59/D59,"")</f>
        <v/>
      </c>
      <c r="U59" s="289" t="str">
        <f>IF(D59&lt;&gt;0,$H59/D59,"")</f>
        <v/>
      </c>
      <c r="V59" s="289" t="str">
        <f>IF(D59&lt;&gt;0,$I59/D59,"")</f>
        <v/>
      </c>
      <c r="W59" s="265"/>
    </row>
    <row r="60" spans="1:23">
      <c r="A60" s="288" t="s">
        <v>126</v>
      </c>
      <c r="W60" s="265"/>
    </row>
    <row r="61" spans="1:23">
      <c r="A61" s="285" t="s">
        <v>58</v>
      </c>
      <c r="B61" s="275">
        <f>CDCM!B173+CDCM!C173+CDCM!D173</f>
        <v>1E-3</v>
      </c>
      <c r="C61" s="276">
        <f>CDCM!E173</f>
        <v>1.1375306250331345E-5</v>
      </c>
      <c r="D61" s="275">
        <f>0.01*CDCM!F$14*(CDCM!$E4405*CDCM!E173+CDCM!$F4405*CDCM!F173+CDCM!$G4405*CDCM!G173)+10*(CDCM!$B4405*CDCM!B173+CDCM!$C4405*CDCM!C173+CDCM!$D4405*CDCM!D173+CDCM!$H4405*CDCM!H173)</f>
        <v>2.7430327502059603E-2</v>
      </c>
      <c r="E61" s="275">
        <f>10*(CDCM!$B4405*CDCM!B173+CDCM!$C4405*CDCM!C173+CDCM!$D4405*CDCM!D173)</f>
        <v>2.569479702744655E-2</v>
      </c>
      <c r="F61" s="275">
        <f>CDCM!E4405*CDCM!$F$14*CDCM!$E173/100</f>
        <v>1.7355304746130532E-3</v>
      </c>
      <c r="G61" s="275">
        <f>CDCM!F4405*CDCM!$F$14*CDCM!$F173/100</f>
        <v>0</v>
      </c>
      <c r="H61" s="275">
        <f>CDCM!G4405*CDCM!$F$14*CDCM!$G173/100</f>
        <v>0</v>
      </c>
      <c r="I61" s="275">
        <f>CDCM!H4405*CDCM!$H173*10</f>
        <v>0</v>
      </c>
      <c r="J61" s="273">
        <f>IF(B61&lt;&gt;0,0.1*D61/B61,"")</f>
        <v>2.7430327502059604</v>
      </c>
      <c r="K61" s="278">
        <f>IF(C61&lt;&gt;0,D61/C61,"")</f>
        <v>2411.3924406440133</v>
      </c>
      <c r="L61" s="273">
        <f>IF(B61&lt;&gt;0,0.1*E61/B61,0)</f>
        <v>2.5694797027446552</v>
      </c>
      <c r="M61" s="275">
        <f>CDCM!B4405*CDCM!$B173*10</f>
        <v>2.2597563534813063E-2</v>
      </c>
      <c r="N61" s="275">
        <f>CDCM!C4405*CDCM!$C173*10</f>
        <v>3.0972334926334883E-3</v>
      </c>
      <c r="O61" s="275">
        <f>CDCM!D4405*CDCM!$D173*10</f>
        <v>0</v>
      </c>
      <c r="P61" s="289">
        <f>IF(E61&lt;&gt;0,$M61/E61,"")</f>
        <v>0.87946067488584956</v>
      </c>
      <c r="Q61" s="289">
        <f>IF(E61&lt;&gt;0,$N61/E61,"")</f>
        <v>0.12053932511415053</v>
      </c>
      <c r="R61" s="289">
        <f>IF(E61&lt;&gt;0,$O61/E61,"")</f>
        <v>0</v>
      </c>
      <c r="S61" s="289">
        <f>IF(D61&lt;&gt;0,$F61/D61,"")</f>
        <v>6.3270497754091382E-2</v>
      </c>
      <c r="T61" s="289">
        <f>IF(D61&lt;&gt;0,$G61/D61,"")</f>
        <v>0</v>
      </c>
      <c r="U61" s="289">
        <f>IF(D61&lt;&gt;0,$H61/D61,"")</f>
        <v>0</v>
      </c>
      <c r="V61" s="289">
        <f>IF(D61&lt;&gt;0,$I61/D61,"")</f>
        <v>0</v>
      </c>
      <c r="W61" s="265"/>
    </row>
    <row r="62" spans="1:23">
      <c r="A62" s="285" t="s">
        <v>127</v>
      </c>
      <c r="B62" s="275">
        <f>CDCM!B174+CDCM!C174+CDCM!D174</f>
        <v>0</v>
      </c>
      <c r="C62" s="276">
        <f>CDCM!E174</f>
        <v>0</v>
      </c>
      <c r="D62" s="275">
        <f>0.01*CDCM!F$14*(CDCM!$E4406*CDCM!E174+CDCM!$F4406*CDCM!F174+CDCM!$G4406*CDCM!G174)+10*(CDCM!$B4406*CDCM!B174+CDCM!$C4406*CDCM!C174+CDCM!$D4406*CDCM!D174+CDCM!$H4406*CDCM!H174)</f>
        <v>0</v>
      </c>
      <c r="E62" s="275">
        <f>10*(CDCM!$B4406*CDCM!B174+CDCM!$C4406*CDCM!C174+CDCM!$D4406*CDCM!D174)</f>
        <v>0</v>
      </c>
      <c r="F62" s="275">
        <f>CDCM!E4406*CDCM!$F$14*CDCM!$E174/100</f>
        <v>0</v>
      </c>
      <c r="G62" s="275">
        <f>CDCM!F4406*CDCM!$F$14*CDCM!$F174/100</f>
        <v>0</v>
      </c>
      <c r="H62" s="275">
        <f>CDCM!G4406*CDCM!$F$14*CDCM!$G174/100</f>
        <v>0</v>
      </c>
      <c r="I62" s="275">
        <f>CDCM!H4406*CDCM!$H174*10</f>
        <v>0</v>
      </c>
      <c r="J62" s="273" t="str">
        <f>IF(B62&lt;&gt;0,0.1*D62/B62,"")</f>
        <v/>
      </c>
      <c r="K62" s="278" t="str">
        <f>IF(C62&lt;&gt;0,D62/C62,"")</f>
        <v/>
      </c>
      <c r="L62" s="273">
        <f>IF(B62&lt;&gt;0,0.1*E62/B62,0)</f>
        <v>0</v>
      </c>
      <c r="M62" s="275">
        <f>CDCM!B4406*CDCM!$B174*10</f>
        <v>0</v>
      </c>
      <c r="N62" s="275">
        <f>CDCM!C4406*CDCM!$C174*10</f>
        <v>0</v>
      </c>
      <c r="O62" s="275">
        <f>CDCM!D4406*CDCM!$D174*10</f>
        <v>0</v>
      </c>
      <c r="P62" s="289" t="str">
        <f>IF(E62&lt;&gt;0,$M62/E62,"")</f>
        <v/>
      </c>
      <c r="Q62" s="289" t="str">
        <f>IF(E62&lt;&gt;0,$N62/E62,"")</f>
        <v/>
      </c>
      <c r="R62" s="289" t="str">
        <f>IF(E62&lt;&gt;0,$O62/E62,"")</f>
        <v/>
      </c>
      <c r="S62" s="289" t="str">
        <f>IF(D62&lt;&gt;0,$F62/D62,"")</f>
        <v/>
      </c>
      <c r="T62" s="289" t="str">
        <f>IF(D62&lt;&gt;0,$G62/D62,"")</f>
        <v/>
      </c>
      <c r="U62" s="289" t="str">
        <f>IF(D62&lt;&gt;0,$H62/D62,"")</f>
        <v/>
      </c>
      <c r="V62" s="289" t="str">
        <f>IF(D62&lt;&gt;0,$I62/D62,"")</f>
        <v/>
      </c>
      <c r="W62" s="265"/>
    </row>
    <row r="63" spans="1:23">
      <c r="A63" s="285" t="s">
        <v>128</v>
      </c>
      <c r="B63" s="275">
        <f>CDCM!B175+CDCM!C175+CDCM!D175</f>
        <v>0</v>
      </c>
      <c r="C63" s="276">
        <f>CDCM!E175</f>
        <v>0</v>
      </c>
      <c r="D63" s="275">
        <f>0.01*CDCM!F$14*(CDCM!$E4407*CDCM!E175+CDCM!$F4407*CDCM!F175+CDCM!$G4407*CDCM!G175)+10*(CDCM!$B4407*CDCM!B175+CDCM!$C4407*CDCM!C175+CDCM!$D4407*CDCM!D175+CDCM!$H4407*CDCM!H175)</f>
        <v>0</v>
      </c>
      <c r="E63" s="275">
        <f>10*(CDCM!$B4407*CDCM!B175+CDCM!$C4407*CDCM!C175+CDCM!$D4407*CDCM!D175)</f>
        <v>0</v>
      </c>
      <c r="F63" s="275">
        <f>CDCM!E4407*CDCM!$F$14*CDCM!$E175/100</f>
        <v>0</v>
      </c>
      <c r="G63" s="275">
        <f>CDCM!F4407*CDCM!$F$14*CDCM!$F175/100</f>
        <v>0</v>
      </c>
      <c r="H63" s="275">
        <f>CDCM!G4407*CDCM!$F$14*CDCM!$G175/100</f>
        <v>0</v>
      </c>
      <c r="I63" s="275">
        <f>CDCM!H4407*CDCM!$H175*10</f>
        <v>0</v>
      </c>
      <c r="J63" s="273" t="str">
        <f>IF(B63&lt;&gt;0,0.1*D63/B63,"")</f>
        <v/>
      </c>
      <c r="K63" s="278" t="str">
        <f>IF(C63&lt;&gt;0,D63/C63,"")</f>
        <v/>
      </c>
      <c r="L63" s="273">
        <f>IF(B63&lt;&gt;0,0.1*E63/B63,0)</f>
        <v>0</v>
      </c>
      <c r="M63" s="275">
        <f>CDCM!B4407*CDCM!$B175*10</f>
        <v>0</v>
      </c>
      <c r="N63" s="275">
        <f>CDCM!C4407*CDCM!$C175*10</f>
        <v>0</v>
      </c>
      <c r="O63" s="275">
        <f>CDCM!D4407*CDCM!$D175*10</f>
        <v>0</v>
      </c>
      <c r="P63" s="289" t="str">
        <f>IF(E63&lt;&gt;0,$M63/E63,"")</f>
        <v/>
      </c>
      <c r="Q63" s="289" t="str">
        <f>IF(E63&lt;&gt;0,$N63/E63,"")</f>
        <v/>
      </c>
      <c r="R63" s="289" t="str">
        <f>IF(E63&lt;&gt;0,$O63/E63,"")</f>
        <v/>
      </c>
      <c r="S63" s="289" t="str">
        <f>IF(D63&lt;&gt;0,$F63/D63,"")</f>
        <v/>
      </c>
      <c r="T63" s="289" t="str">
        <f>IF(D63&lt;&gt;0,$G63/D63,"")</f>
        <v/>
      </c>
      <c r="U63" s="289" t="str">
        <f>IF(D63&lt;&gt;0,$H63/D63,"")</f>
        <v/>
      </c>
      <c r="V63" s="289" t="str">
        <f>IF(D63&lt;&gt;0,$I63/D63,"")</f>
        <v/>
      </c>
      <c r="W63" s="265"/>
    </row>
    <row r="64" spans="1:23">
      <c r="A64" s="288" t="s">
        <v>129</v>
      </c>
      <c r="W64" s="265"/>
    </row>
    <row r="65" spans="1:23">
      <c r="A65" s="285" t="s">
        <v>59</v>
      </c>
      <c r="B65" s="275">
        <f>CDCM!B177+CDCM!C177+CDCM!D177</f>
        <v>1E-3</v>
      </c>
      <c r="C65" s="276">
        <f>CDCM!E177</f>
        <v>8.3651490727006342E-6</v>
      </c>
      <c r="D65" s="275">
        <f>0.01*CDCM!F$14*(CDCM!$E4409*CDCM!E177+CDCM!$F4409*CDCM!F177+CDCM!$G4409*CDCM!G177)+10*(CDCM!$B4409*CDCM!B177+CDCM!$C4409*CDCM!C177+CDCM!$D4409*CDCM!D177+CDCM!$H4409*CDCM!H177)</f>
        <v>2.5177556279203962E-2</v>
      </c>
      <c r="E65" s="275">
        <f>10*(CDCM!$B4409*CDCM!B177+CDCM!$C4409*CDCM!C177+CDCM!$D4409*CDCM!D177)</f>
        <v>2.4293021233682061E-2</v>
      </c>
      <c r="F65" s="275">
        <f>CDCM!E4409*CDCM!$F$14*CDCM!$E177/100</f>
        <v>8.8453504552190134E-4</v>
      </c>
      <c r="G65" s="275">
        <f>CDCM!F4409*CDCM!$F$14*CDCM!$F177/100</f>
        <v>0</v>
      </c>
      <c r="H65" s="275">
        <f>CDCM!G4409*CDCM!$F$14*CDCM!$G177/100</f>
        <v>0</v>
      </c>
      <c r="I65" s="275">
        <f>CDCM!H4409*CDCM!$H177*10</f>
        <v>0</v>
      </c>
      <c r="J65" s="273">
        <f>IF(B65&lt;&gt;0,0.1*D65/B65,"")</f>
        <v>2.5177556279203963</v>
      </c>
      <c r="K65" s="278">
        <f>IF(C65&lt;&gt;0,D65/C65,"")</f>
        <v>3009.8156124162833</v>
      </c>
      <c r="L65" s="273">
        <f>IF(B65&lt;&gt;0,0.1*E65/B65,0)</f>
        <v>2.4293021233682062</v>
      </c>
      <c r="M65" s="275">
        <f>CDCM!B4409*CDCM!$B177*10</f>
        <v>2.0923010452107163E-2</v>
      </c>
      <c r="N65" s="275">
        <f>CDCM!C4409*CDCM!$C177*10</f>
        <v>3.3700107815749008E-3</v>
      </c>
      <c r="O65" s="275">
        <f>CDCM!D4409*CDCM!$D177*10</f>
        <v>0</v>
      </c>
      <c r="P65" s="289">
        <f>IF(E65&lt;&gt;0,$M65/E65,"")</f>
        <v>0.86127658848367494</v>
      </c>
      <c r="Q65" s="289">
        <f>IF(E65&lt;&gt;0,$N65/E65,"")</f>
        <v>0.13872341151632511</v>
      </c>
      <c r="R65" s="289">
        <f>IF(E65&lt;&gt;0,$O65/E65,"")</f>
        <v>0</v>
      </c>
      <c r="S65" s="289">
        <f>IF(D65&lt;&gt;0,$F65/D65,"")</f>
        <v>3.5131886340077627E-2</v>
      </c>
      <c r="T65" s="289">
        <f>IF(D65&lt;&gt;0,$G65/D65,"")</f>
        <v>0</v>
      </c>
      <c r="U65" s="289">
        <f>IF(D65&lt;&gt;0,$H65/D65,"")</f>
        <v>0</v>
      </c>
      <c r="V65" s="289">
        <f>IF(D65&lt;&gt;0,$I65/D65,"")</f>
        <v>0</v>
      </c>
      <c r="W65" s="265"/>
    </row>
    <row r="66" spans="1:23">
      <c r="A66" s="288" t="s">
        <v>130</v>
      </c>
      <c r="W66" s="265"/>
    </row>
    <row r="67" spans="1:23">
      <c r="A67" s="285" t="s">
        <v>72</v>
      </c>
      <c r="B67" s="275">
        <f>CDCM!B179+CDCM!C179+CDCM!D179</f>
        <v>1E-3</v>
      </c>
      <c r="C67" s="276">
        <f>CDCM!E179</f>
        <v>8.8911149421647205E-6</v>
      </c>
      <c r="D67" s="275">
        <f>0.01*CDCM!F$14*(CDCM!$E4411*CDCM!E179+CDCM!$F4411*CDCM!F179+CDCM!$G4411*CDCM!G179)+10*(CDCM!$B4411*CDCM!B179+CDCM!$C4411*CDCM!C179+CDCM!$D4411*CDCM!D179+CDCM!$H4411*CDCM!H179)</f>
        <v>2.6429301653139687E-2</v>
      </c>
      <c r="E67" s="275">
        <f>10*(CDCM!$B4411*CDCM!B179+CDCM!$C4411*CDCM!C179+CDCM!$D4411*CDCM!D179)</f>
        <v>2.0121820237558843E-2</v>
      </c>
      <c r="F67" s="275">
        <f>CDCM!E4411*CDCM!$F$14*CDCM!$E179/100</f>
        <v>6.3074814155808434E-3</v>
      </c>
      <c r="G67" s="275">
        <f>CDCM!F4411*CDCM!$F$14*CDCM!$F179/100</f>
        <v>0</v>
      </c>
      <c r="H67" s="275">
        <f>CDCM!G4411*CDCM!$F$14*CDCM!$G179/100</f>
        <v>0</v>
      </c>
      <c r="I67" s="275">
        <f>CDCM!H4411*CDCM!$H179*10</f>
        <v>0</v>
      </c>
      <c r="J67" s="273">
        <f>IF(B67&lt;&gt;0,0.1*D67/B67,"")</f>
        <v>2.642930165313969</v>
      </c>
      <c r="K67" s="278">
        <f>IF(C67&lt;&gt;0,D67/C67,"")</f>
        <v>2972.5520168233188</v>
      </c>
      <c r="L67" s="273">
        <f>IF(B67&lt;&gt;0,0.1*E67/B67,0)</f>
        <v>2.0121820237558845</v>
      </c>
      <c r="M67" s="275">
        <f>CDCM!B4411*CDCM!$B179*10</f>
        <v>1.6842618515637498E-2</v>
      </c>
      <c r="N67" s="275">
        <f>CDCM!C4411*CDCM!$C179*10</f>
        <v>3.2792017219213467E-3</v>
      </c>
      <c r="O67" s="275">
        <f>CDCM!D4411*CDCM!$D179*10</f>
        <v>0</v>
      </c>
      <c r="P67" s="289">
        <f>IF(E67&lt;&gt;0,$M67/E67,"")</f>
        <v>0.83703255057410386</v>
      </c>
      <c r="Q67" s="289">
        <f>IF(E67&lt;&gt;0,$N67/E67,"")</f>
        <v>0.16296744942589628</v>
      </c>
      <c r="R67" s="289">
        <f>IF(E67&lt;&gt;0,$O67/E67,"")</f>
        <v>0</v>
      </c>
      <c r="S67" s="289">
        <f>IF(D67&lt;&gt;0,$F67/D67,"")</f>
        <v>0.23865486490565452</v>
      </c>
      <c r="T67" s="289">
        <f>IF(D67&lt;&gt;0,$G67/D67,"")</f>
        <v>0</v>
      </c>
      <c r="U67" s="289">
        <f>IF(D67&lt;&gt;0,$H67/D67,"")</f>
        <v>0</v>
      </c>
      <c r="V67" s="289">
        <f>IF(D67&lt;&gt;0,$I67/D67,"")</f>
        <v>0</v>
      </c>
      <c r="W67" s="265"/>
    </row>
    <row r="68" spans="1:23">
      <c r="A68" s="288" t="s">
        <v>1181</v>
      </c>
      <c r="W68" s="265"/>
    </row>
    <row r="69" spans="1:23">
      <c r="A69" s="285" t="s">
        <v>1178</v>
      </c>
      <c r="B69" s="275">
        <f>CDCM!B181+CDCM!C181+CDCM!D181</f>
        <v>0.1309337540173347</v>
      </c>
      <c r="C69" s="276">
        <f>CDCM!E181</f>
        <v>8.4931506849315067E-2</v>
      </c>
      <c r="D69" s="275">
        <f>0.01*CDCM!F$14*(CDCM!$E4413*CDCM!E181+CDCM!$F4413*CDCM!F181+CDCM!$G4413*CDCM!G181)+10*(CDCM!$B4413*CDCM!B181+CDCM!$C4413*CDCM!C181+CDCM!$D4413*CDCM!D181+CDCM!$H4413*CDCM!H181)</f>
        <v>7.2265202157332782</v>
      </c>
      <c r="E69" s="275">
        <f>10*(CDCM!$B4413*CDCM!B181+CDCM!$C4413*CDCM!C181+CDCM!$D4413*CDCM!D181)</f>
        <v>5.4223202157332784</v>
      </c>
      <c r="F69" s="275">
        <f>CDCM!E4413*CDCM!$F$14*CDCM!$E181/100</f>
        <v>1.8042000000000002</v>
      </c>
      <c r="G69" s="275">
        <f>CDCM!F4413*CDCM!$F$14*CDCM!$F181/100</f>
        <v>0</v>
      </c>
      <c r="H69" s="275">
        <f>CDCM!G4413*CDCM!$F$14*CDCM!$G181/100</f>
        <v>0</v>
      </c>
      <c r="I69" s="275">
        <f>CDCM!H4413*CDCM!$H181*10</f>
        <v>0</v>
      </c>
      <c r="J69" s="273">
        <f>IF(B69&lt;&gt;0,0.1*D69/B69,"")</f>
        <v>5.519218684264211</v>
      </c>
      <c r="K69" s="278">
        <f>IF(C69&lt;&gt;0,D69/C69,"")</f>
        <v>85.08644770137569</v>
      </c>
      <c r="L69" s="273">
        <f>IF(B69&lt;&gt;0,0.1*E69/B69,0)</f>
        <v>4.1412699547401672</v>
      </c>
      <c r="M69" s="275">
        <f>CDCM!B4413*CDCM!$B181*10</f>
        <v>3.459808785697434</v>
      </c>
      <c r="N69" s="275">
        <f>CDCM!C4413*CDCM!$C181*10</f>
        <v>1.1273441343941488</v>
      </c>
      <c r="O69" s="275">
        <f>CDCM!D4413*CDCM!$D181*10</f>
        <v>0.83516729564169612</v>
      </c>
      <c r="P69" s="289">
        <f>IF(E69&lt;&gt;0,$M69/E69,"")</f>
        <v>0.6380679576352819</v>
      </c>
      <c r="Q69" s="289">
        <f>IF(E69&lt;&gt;0,$N69/E69,"")</f>
        <v>0.2079080706305528</v>
      </c>
      <c r="R69" s="289">
        <f>IF(E69&lt;&gt;0,$O69/E69,"")</f>
        <v>0.1540239717341654</v>
      </c>
      <c r="S69" s="289">
        <f>IF(D69&lt;&gt;0,$F69/D69,"")</f>
        <v>0.24966373110974924</v>
      </c>
      <c r="T69" s="289">
        <f>IF(D69&lt;&gt;0,$G69/D69,"")</f>
        <v>0</v>
      </c>
      <c r="U69" s="289">
        <f>IF(D69&lt;&gt;0,$H69/D69,"")</f>
        <v>0</v>
      </c>
      <c r="V69" s="289">
        <f>IF(D69&lt;&gt;0,$I69/D69,"")</f>
        <v>0</v>
      </c>
      <c r="W69" s="265"/>
    </row>
    <row r="70" spans="1:23">
      <c r="A70" s="285" t="s">
        <v>1175</v>
      </c>
      <c r="B70" s="275">
        <f>CDCM!B182+CDCM!C182+CDCM!D182</f>
        <v>0</v>
      </c>
      <c r="C70" s="276">
        <f>CDCM!E182</f>
        <v>0</v>
      </c>
      <c r="D70" s="275">
        <f>0.01*CDCM!F$14*(CDCM!$E4414*CDCM!E182+CDCM!$F4414*CDCM!F182+CDCM!$G4414*CDCM!G182)+10*(CDCM!$B4414*CDCM!B182+CDCM!$C4414*CDCM!C182+CDCM!$D4414*CDCM!D182+CDCM!$H4414*CDCM!H182)</f>
        <v>0</v>
      </c>
      <c r="E70" s="275">
        <f>10*(CDCM!$B4414*CDCM!B182+CDCM!$C4414*CDCM!C182+CDCM!$D4414*CDCM!D182)</f>
        <v>0</v>
      </c>
      <c r="F70" s="275">
        <f>CDCM!E4414*CDCM!$F$14*CDCM!$E182/100</f>
        <v>0</v>
      </c>
      <c r="G70" s="275">
        <f>CDCM!F4414*CDCM!$F$14*CDCM!$F182/100</f>
        <v>0</v>
      </c>
      <c r="H70" s="275">
        <f>CDCM!G4414*CDCM!$F$14*CDCM!$G182/100</f>
        <v>0</v>
      </c>
      <c r="I70" s="275">
        <f>CDCM!H4414*CDCM!$H182*10</f>
        <v>0</v>
      </c>
      <c r="J70" s="273" t="str">
        <f>IF(B70&lt;&gt;0,0.1*D70/B70,"")</f>
        <v/>
      </c>
      <c r="K70" s="278" t="str">
        <f>IF(C70&lt;&gt;0,D70/C70,"")</f>
        <v/>
      </c>
      <c r="L70" s="273">
        <f>IF(B70&lt;&gt;0,0.1*E70/B70,0)</f>
        <v>0</v>
      </c>
      <c r="M70" s="275">
        <f>CDCM!B4414*CDCM!$B182*10</f>
        <v>0</v>
      </c>
      <c r="N70" s="275">
        <f>CDCM!C4414*CDCM!$C182*10</f>
        <v>0</v>
      </c>
      <c r="O70" s="275">
        <f>CDCM!D4414*CDCM!$D182*10</f>
        <v>0</v>
      </c>
      <c r="P70" s="289" t="str">
        <f>IF(E70&lt;&gt;0,$M70/E70,"")</f>
        <v/>
      </c>
      <c r="Q70" s="289" t="str">
        <f>IF(E70&lt;&gt;0,$N70/E70,"")</f>
        <v/>
      </c>
      <c r="R70" s="289" t="str">
        <f>IF(E70&lt;&gt;0,$O70/E70,"")</f>
        <v/>
      </c>
      <c r="S70" s="289" t="str">
        <f>IF(D70&lt;&gt;0,$F70/D70,"")</f>
        <v/>
      </c>
      <c r="T70" s="289" t="str">
        <f>IF(D70&lt;&gt;0,$G70/D70,"")</f>
        <v/>
      </c>
      <c r="U70" s="289" t="str">
        <f>IF(D70&lt;&gt;0,$H70/D70,"")</f>
        <v/>
      </c>
      <c r="V70" s="289" t="str">
        <f>IF(D70&lt;&gt;0,$I70/D70,"")</f>
        <v/>
      </c>
      <c r="W70" s="265"/>
    </row>
    <row r="71" spans="1:23">
      <c r="A71" s="285" t="s">
        <v>1172</v>
      </c>
      <c r="B71" s="275">
        <f>CDCM!B183+CDCM!C183+CDCM!D183</f>
        <v>0</v>
      </c>
      <c r="C71" s="276">
        <f>CDCM!E183</f>
        <v>0</v>
      </c>
      <c r="D71" s="275">
        <f>0.01*CDCM!F$14*(CDCM!$E4415*CDCM!E183+CDCM!$F4415*CDCM!F183+CDCM!$G4415*CDCM!G183)+10*(CDCM!$B4415*CDCM!B183+CDCM!$C4415*CDCM!C183+CDCM!$D4415*CDCM!D183+CDCM!$H4415*CDCM!H183)</f>
        <v>0</v>
      </c>
      <c r="E71" s="275">
        <f>10*(CDCM!$B4415*CDCM!B183+CDCM!$C4415*CDCM!C183+CDCM!$D4415*CDCM!D183)</f>
        <v>0</v>
      </c>
      <c r="F71" s="275">
        <f>CDCM!E4415*CDCM!$F$14*CDCM!$E183/100</f>
        <v>0</v>
      </c>
      <c r="G71" s="275">
        <f>CDCM!F4415*CDCM!$F$14*CDCM!$F183/100</f>
        <v>0</v>
      </c>
      <c r="H71" s="275">
        <f>CDCM!G4415*CDCM!$F$14*CDCM!$G183/100</f>
        <v>0</v>
      </c>
      <c r="I71" s="275">
        <f>CDCM!H4415*CDCM!$H183*10</f>
        <v>0</v>
      </c>
      <c r="J71" s="273" t="str">
        <f>IF(B71&lt;&gt;0,0.1*D71/B71,"")</f>
        <v/>
      </c>
      <c r="K71" s="278" t="str">
        <f>IF(C71&lt;&gt;0,D71/C71,"")</f>
        <v/>
      </c>
      <c r="L71" s="273">
        <f>IF(B71&lt;&gt;0,0.1*E71/B71,0)</f>
        <v>0</v>
      </c>
      <c r="M71" s="275">
        <f>CDCM!B4415*CDCM!$B183*10</f>
        <v>0</v>
      </c>
      <c r="N71" s="275">
        <f>CDCM!C4415*CDCM!$C183*10</f>
        <v>0</v>
      </c>
      <c r="O71" s="275">
        <f>CDCM!D4415*CDCM!$D183*10</f>
        <v>0</v>
      </c>
      <c r="P71" s="289" t="str">
        <f>IF(E71&lt;&gt;0,$M71/E71,"")</f>
        <v/>
      </c>
      <c r="Q71" s="289" t="str">
        <f>IF(E71&lt;&gt;0,$N71/E71,"")</f>
        <v/>
      </c>
      <c r="R71" s="289" t="str">
        <f>IF(E71&lt;&gt;0,$O71/E71,"")</f>
        <v/>
      </c>
      <c r="S71" s="289" t="str">
        <f>IF(D71&lt;&gt;0,$F71/D71,"")</f>
        <v/>
      </c>
      <c r="T71" s="289" t="str">
        <f>IF(D71&lt;&gt;0,$G71/D71,"")</f>
        <v/>
      </c>
      <c r="U71" s="289" t="str">
        <f>IF(D71&lt;&gt;0,$H71/D71,"")</f>
        <v/>
      </c>
      <c r="V71" s="289" t="str">
        <f>IF(D71&lt;&gt;0,$I71/D71,"")</f>
        <v/>
      </c>
      <c r="W71" s="265"/>
    </row>
    <row r="72" spans="1:23">
      <c r="A72" s="288" t="s">
        <v>1180</v>
      </c>
      <c r="W72" s="265"/>
    </row>
    <row r="73" spans="1:23">
      <c r="A73" s="285" t="s">
        <v>1177</v>
      </c>
      <c r="B73" s="275">
        <f>CDCM!B185+CDCM!C185+CDCM!D185</f>
        <v>412964.46039061237</v>
      </c>
      <c r="C73" s="276">
        <f>CDCM!E185</f>
        <v>6133.3604116966899</v>
      </c>
      <c r="D73" s="275">
        <f>0.01*CDCM!F$14*(CDCM!$E4417*CDCM!E185+CDCM!$F4417*CDCM!F185+CDCM!$G4417*CDCM!G185)+10*(CDCM!$B4417*CDCM!B185+CDCM!$C4417*CDCM!C185+CDCM!$D4417*CDCM!D185+CDCM!$H4417*CDCM!H185)</f>
        <v>11481132.822726544</v>
      </c>
      <c r="E73" s="275">
        <f>10*(CDCM!$B4417*CDCM!B185+CDCM!$C4417*CDCM!C185+CDCM!$D4417*CDCM!D185)</f>
        <v>11270473.359346204</v>
      </c>
      <c r="F73" s="275">
        <f>CDCM!E4417*CDCM!$F$14*CDCM!$E185/100</f>
        <v>210659.46338034037</v>
      </c>
      <c r="G73" s="275">
        <f>CDCM!F4417*CDCM!$F$14*CDCM!$F185/100</f>
        <v>0</v>
      </c>
      <c r="H73" s="275">
        <f>CDCM!G4417*CDCM!$F$14*CDCM!$G185/100</f>
        <v>0</v>
      </c>
      <c r="I73" s="275">
        <f>CDCM!H4417*CDCM!$H185*10</f>
        <v>0</v>
      </c>
      <c r="J73" s="273">
        <f>IF(B73&lt;&gt;0,0.1*D73/B73,"")</f>
        <v>2.7801745486444132</v>
      </c>
      <c r="K73" s="278">
        <f>IF(C73&lt;&gt;0,D73/C73,"")</f>
        <v>1871.9155653777216</v>
      </c>
      <c r="L73" s="273">
        <f>IF(B73&lt;&gt;0,0.1*E73/B73,0)</f>
        <v>2.7291630249939076</v>
      </c>
      <c r="M73" s="275">
        <f>CDCM!B4417*CDCM!$B185*10</f>
        <v>4284738.4529065629</v>
      </c>
      <c r="N73" s="275">
        <f>CDCM!C4417*CDCM!$C185*10</f>
        <v>4014882.4354775227</v>
      </c>
      <c r="O73" s="275">
        <f>CDCM!D4417*CDCM!$D185*10</f>
        <v>2970852.4709621188</v>
      </c>
      <c r="P73" s="289">
        <f>IF(E73&lt;&gt;0,$M73/E73,"")</f>
        <v>0.38017377942279429</v>
      </c>
      <c r="Q73" s="289">
        <f>IF(E73&lt;&gt;0,$N73/E73,"")</f>
        <v>0.35623015178400852</v>
      </c>
      <c r="R73" s="289">
        <f>IF(E73&lt;&gt;0,$O73/E73,"")</f>
        <v>0.26359606879319725</v>
      </c>
      <c r="S73" s="289">
        <f>IF(D73&lt;&gt;0,$F73/D73,"")</f>
        <v>1.8348316898080523E-2</v>
      </c>
      <c r="T73" s="289">
        <f>IF(D73&lt;&gt;0,$G73/D73,"")</f>
        <v>0</v>
      </c>
      <c r="U73" s="289">
        <f>IF(D73&lt;&gt;0,$H73/D73,"")</f>
        <v>0</v>
      </c>
      <c r="V73" s="289">
        <f>IF(D73&lt;&gt;0,$I73/D73,"")</f>
        <v>0</v>
      </c>
      <c r="W73" s="265"/>
    </row>
    <row r="74" spans="1:23">
      <c r="A74" s="285" t="s">
        <v>1174</v>
      </c>
      <c r="B74" s="275">
        <f>CDCM!B186+CDCM!C186+CDCM!D186</f>
        <v>54.154036184198283</v>
      </c>
      <c r="C74" s="276">
        <f>CDCM!E186</f>
        <v>1.1300991921225449</v>
      </c>
      <c r="D74" s="275">
        <f>0.01*CDCM!F$14*(CDCM!$E4418*CDCM!E186+CDCM!$F4418*CDCM!F186+CDCM!$G4418*CDCM!G186)+10*(CDCM!$B4418*CDCM!B186+CDCM!$C4418*CDCM!C186+CDCM!$D4418*CDCM!D186+CDCM!$H4418*CDCM!H186)</f>
        <v>929.5058958734586</v>
      </c>
      <c r="E74" s="275">
        <f>10*(CDCM!$B4418*CDCM!B186+CDCM!$C4418*CDCM!C186+CDCM!$D4418*CDCM!D186)</f>
        <v>905.16920977109964</v>
      </c>
      <c r="F74" s="275">
        <f>CDCM!E4418*CDCM!$F$14*CDCM!$E186/100</f>
        <v>24.336686102359003</v>
      </c>
      <c r="G74" s="275">
        <f>CDCM!F4418*CDCM!$F$14*CDCM!$F186/100</f>
        <v>0</v>
      </c>
      <c r="H74" s="275">
        <f>CDCM!G4418*CDCM!$F$14*CDCM!$G186/100</f>
        <v>0</v>
      </c>
      <c r="I74" s="275">
        <f>CDCM!H4418*CDCM!$H186*10</f>
        <v>0</v>
      </c>
      <c r="J74" s="273">
        <f>IF(B74&lt;&gt;0,0.1*D74/B74,"")</f>
        <v>1.7164111142369127</v>
      </c>
      <c r="K74" s="278">
        <f>IF(C74&lt;&gt;0,D74/C74,"")</f>
        <v>822.49938974619272</v>
      </c>
      <c r="L74" s="273">
        <f>IF(B74&lt;&gt;0,0.1*E74/B74,0)</f>
        <v>1.6714713686202045</v>
      </c>
      <c r="M74" s="275">
        <f>CDCM!B4418*CDCM!$B186*10</f>
        <v>332.43619354418956</v>
      </c>
      <c r="N74" s="275">
        <f>CDCM!C4418*CDCM!$C186*10</f>
        <v>312.55306716070868</v>
      </c>
      <c r="O74" s="275">
        <f>CDCM!D4418*CDCM!$D186*10</f>
        <v>260.1799490662014</v>
      </c>
      <c r="P74" s="289">
        <f>IF(E74&lt;&gt;0,$M74/E74,"")</f>
        <v>0.3672641423897488</v>
      </c>
      <c r="Q74" s="289">
        <f>IF(E74&lt;&gt;0,$N74/E74,"")</f>
        <v>0.34529794406036801</v>
      </c>
      <c r="R74" s="289">
        <f>IF(E74&lt;&gt;0,$O74/E74,"")</f>
        <v>0.28743791354988318</v>
      </c>
      <c r="S74" s="289">
        <f>IF(D74&lt;&gt;0,$F74/D74,"")</f>
        <v>2.618239024669098E-2</v>
      </c>
      <c r="T74" s="289">
        <f>IF(D74&lt;&gt;0,$G74/D74,"")</f>
        <v>0</v>
      </c>
      <c r="U74" s="289">
        <f>IF(D74&lt;&gt;0,$H74/D74,"")</f>
        <v>0</v>
      </c>
      <c r="V74" s="289">
        <f>IF(D74&lt;&gt;0,$I74/D74,"")</f>
        <v>0</v>
      </c>
      <c r="W74" s="265"/>
    </row>
    <row r="75" spans="1:23">
      <c r="A75" s="285" t="s">
        <v>1171</v>
      </c>
      <c r="B75" s="275">
        <f>CDCM!B187+CDCM!C187+CDCM!D187</f>
        <v>2831.2368707743872</v>
      </c>
      <c r="C75" s="276">
        <f>CDCM!E187</f>
        <v>39.906605458800122</v>
      </c>
      <c r="D75" s="275">
        <f>0.01*CDCM!F$14*(CDCM!$E4419*CDCM!E187+CDCM!$F4419*CDCM!F187+CDCM!$G4419*CDCM!G187)+10*(CDCM!$B4419*CDCM!B187+CDCM!$C4419*CDCM!C187+CDCM!$D4419*CDCM!D187+CDCM!$H4419*CDCM!H187)</f>
        <v>31492.885227753017</v>
      </c>
      <c r="E75" s="275">
        <f>10*(CDCM!$B4419*CDCM!B187+CDCM!$C4419*CDCM!C187+CDCM!$D4419*CDCM!D187)</f>
        <v>30969.969023123631</v>
      </c>
      <c r="F75" s="275">
        <f>CDCM!E4419*CDCM!$F$14*CDCM!$E187/100</f>
        <v>522.91620462938738</v>
      </c>
      <c r="G75" s="275">
        <f>CDCM!F4419*CDCM!$F$14*CDCM!$F187/100</f>
        <v>0</v>
      </c>
      <c r="H75" s="275">
        <f>CDCM!G4419*CDCM!$F$14*CDCM!$G187/100</f>
        <v>0</v>
      </c>
      <c r="I75" s="275">
        <f>CDCM!H4419*CDCM!$H187*10</f>
        <v>0</v>
      </c>
      <c r="J75" s="273">
        <f>IF(B75&lt;&gt;0,0.1*D75/B75,"")</f>
        <v>1.1123366452606003</v>
      </c>
      <c r="K75" s="278">
        <f>IF(C75&lt;&gt;0,D75/C75,"")</f>
        <v>789.16472262384002</v>
      </c>
      <c r="L75" s="273">
        <f>IF(B75&lt;&gt;0,0.1*E75/B75,0)</f>
        <v>1.0938671130915607</v>
      </c>
      <c r="M75" s="275">
        <f>CDCM!B4419*CDCM!$B187*10</f>
        <v>12723.460435437657</v>
      </c>
      <c r="N75" s="275">
        <f>CDCM!C4419*CDCM!$C187*10</f>
        <v>11116.559156005651</v>
      </c>
      <c r="O75" s="275">
        <f>CDCM!D4419*CDCM!$D187*10</f>
        <v>7129.9494316803266</v>
      </c>
      <c r="P75" s="289">
        <f>IF(E75&lt;&gt;0,$M75/E75,"")</f>
        <v>0.41083219766664036</v>
      </c>
      <c r="Q75" s="289">
        <f>IF(E75&lt;&gt;0,$N75/E75,"")</f>
        <v>0.35894640862267274</v>
      </c>
      <c r="R75" s="289">
        <f>IF(E75&lt;&gt;0,$O75/E75,"")</f>
        <v>0.23022139371068703</v>
      </c>
      <c r="S75" s="289">
        <f>IF(D75&lt;&gt;0,$F75/D75,"")</f>
        <v>1.6604264767985405E-2</v>
      </c>
      <c r="T75" s="289">
        <f>IF(D75&lt;&gt;0,$G75/D75,"")</f>
        <v>0</v>
      </c>
      <c r="U75" s="289">
        <f>IF(D75&lt;&gt;0,$H75/D75,"")</f>
        <v>0</v>
      </c>
      <c r="V75" s="289">
        <f>IF(D75&lt;&gt;0,$I75/D75,"")</f>
        <v>0</v>
      </c>
      <c r="W75" s="265"/>
    </row>
    <row r="76" spans="1:23">
      <c r="A76" s="288" t="s">
        <v>131</v>
      </c>
      <c r="W76" s="265"/>
    </row>
    <row r="77" spans="1:23">
      <c r="A77" s="285" t="s">
        <v>60</v>
      </c>
      <c r="B77" s="275">
        <f>CDCM!B189+CDCM!C189+CDCM!D189</f>
        <v>1264015.5537686367</v>
      </c>
      <c r="C77" s="276">
        <f>CDCM!E189</f>
        <v>6675.4921517207349</v>
      </c>
      <c r="D77" s="275">
        <f>0.01*CDCM!F$14*(CDCM!$E4421*CDCM!E189+CDCM!$F4421*CDCM!F189+CDCM!$G4421*CDCM!G189)+10*(CDCM!$B4421*CDCM!B189+CDCM!$C4421*CDCM!C189+CDCM!$D4421*CDCM!D189+CDCM!$H4421*CDCM!H189)</f>
        <v>39063541.685530677</v>
      </c>
      <c r="E77" s="275">
        <f>10*(CDCM!$B4421*CDCM!B189+CDCM!$C4421*CDCM!C189+CDCM!$D4421*CDCM!D189)</f>
        <v>29758944.629233871</v>
      </c>
      <c r="F77" s="275">
        <f>CDCM!E4421*CDCM!$F$14*CDCM!$E189/100</f>
        <v>323330.80011466966</v>
      </c>
      <c r="G77" s="275">
        <f>CDCM!F4421*CDCM!$F$14*CDCM!$F189/100</f>
        <v>8502236.0911340807</v>
      </c>
      <c r="H77" s="275">
        <f>CDCM!G4421*CDCM!$F$14*CDCM!$G189/100</f>
        <v>344654.75885143894</v>
      </c>
      <c r="I77" s="275">
        <f>CDCM!H4421*CDCM!$H189*10</f>
        <v>134375.40619661161</v>
      </c>
      <c r="J77" s="273">
        <f>IF(B77&lt;&gt;0,0.1*D77/B77,"")</f>
        <v>3.0904320416836266</v>
      </c>
      <c r="K77" s="278">
        <f>IF(C77&lt;&gt;0,D77/C77,"")</f>
        <v>5851.7845272968088</v>
      </c>
      <c r="L77" s="273">
        <f>IF(B77&lt;&gt;0,0.1*E77/B77,0)</f>
        <v>2.3543179148791471</v>
      </c>
      <c r="M77" s="275">
        <f>CDCM!B4421*CDCM!$B189*10</f>
        <v>10052965.541760139</v>
      </c>
      <c r="N77" s="275">
        <f>CDCM!C4421*CDCM!$C189*10</f>
        <v>11275310.092508294</v>
      </c>
      <c r="O77" s="275">
        <f>CDCM!D4421*CDCM!$D189*10</f>
        <v>8430668.9949654378</v>
      </c>
      <c r="P77" s="289">
        <f>IF(E77&lt;&gt;0,$M77/E77,"")</f>
        <v>0.33781324126274798</v>
      </c>
      <c r="Q77" s="289">
        <f>IF(E77&lt;&gt;0,$N77/E77,"")</f>
        <v>0.37888810349248503</v>
      </c>
      <c r="R77" s="289">
        <f>IF(E77&lt;&gt;0,$O77/E77,"")</f>
        <v>0.28329865524476705</v>
      </c>
      <c r="S77" s="289">
        <f>IF(D77&lt;&gt;0,$F77/D77,"")</f>
        <v>8.2770477576648641E-3</v>
      </c>
      <c r="T77" s="289">
        <f>IF(D77&lt;&gt;0,$G77/D77,"")</f>
        <v>0.21765143978953014</v>
      </c>
      <c r="U77" s="289">
        <f>IF(D77&lt;&gt;0,$H77/D77,"")</f>
        <v>8.8229265442948991E-3</v>
      </c>
      <c r="V77" s="289">
        <f>IF(D77&lt;&gt;0,$I77/D77,"")</f>
        <v>3.4399186658076349E-3</v>
      </c>
      <c r="W77" s="265"/>
    </row>
    <row r="78" spans="1:23">
      <c r="A78" s="285" t="s">
        <v>132</v>
      </c>
      <c r="B78" s="275">
        <f>CDCM!B190+CDCM!C190+CDCM!D190</f>
        <v>400.62916185241556</v>
      </c>
      <c r="C78" s="276">
        <f>CDCM!E190</f>
        <v>3.6487097119870446</v>
      </c>
      <c r="D78" s="275">
        <f>0.01*CDCM!F$14*(CDCM!$E4422*CDCM!E190+CDCM!$F4422*CDCM!F190+CDCM!$G4422*CDCM!G190)+10*(CDCM!$B4422*CDCM!B190+CDCM!$C4422*CDCM!C190+CDCM!$D4422*CDCM!D190+CDCM!$H4422*CDCM!H190)</f>
        <v>9026.5927992003799</v>
      </c>
      <c r="E78" s="275">
        <f>10*(CDCM!$B4422*CDCM!B190+CDCM!$C4422*CDCM!C190+CDCM!$D4422*CDCM!D190)</f>
        <v>5851.2714269637227</v>
      </c>
      <c r="F78" s="275">
        <f>CDCM!E4422*CDCM!$F$14*CDCM!$E190/100</f>
        <v>110.80401653362259</v>
      </c>
      <c r="G78" s="275">
        <f>CDCM!F4422*CDCM!$F$14*CDCM!$F190/100</f>
        <v>3022.9013115000002</v>
      </c>
      <c r="H78" s="275">
        <f>CDCM!G4422*CDCM!$F$14*CDCM!$G190/100</f>
        <v>0</v>
      </c>
      <c r="I78" s="275">
        <f>CDCM!H4422*CDCM!$H190*10</f>
        <v>41.616044203034484</v>
      </c>
      <c r="J78" s="273">
        <f>IF(B78&lt;&gt;0,0.1*D78/B78,"")</f>
        <v>2.2531042816412876</v>
      </c>
      <c r="K78" s="278">
        <f>IF(C78&lt;&gt;0,D78/C78,"")</f>
        <v>2473.9136603675174</v>
      </c>
      <c r="L78" s="273">
        <f>IF(B78&lt;&gt;0,0.1*E78/B78,0)</f>
        <v>1.4605205971299773</v>
      </c>
      <c r="M78" s="275">
        <f>CDCM!B4422*CDCM!$B190*10</f>
        <v>1950.6581598037837</v>
      </c>
      <c r="N78" s="275">
        <f>CDCM!C4422*CDCM!$C190*10</f>
        <v>2087.6324909403538</v>
      </c>
      <c r="O78" s="275">
        <f>CDCM!D4422*CDCM!$D190*10</f>
        <v>1812.9807762195853</v>
      </c>
      <c r="P78" s="289">
        <f>IF(E78&lt;&gt;0,$M78/E78,"")</f>
        <v>0.3333733845971999</v>
      </c>
      <c r="Q78" s="289">
        <f>IF(E78&lt;&gt;0,$N78/E78,"")</f>
        <v>0.3567827124409515</v>
      </c>
      <c r="R78" s="289">
        <f>IF(E78&lt;&gt;0,$O78/E78,"")</f>
        <v>0.30984390296184866</v>
      </c>
      <c r="S78" s="289">
        <f>IF(D78&lt;&gt;0,$F78/D78,"")</f>
        <v>1.2275286921488045E-2</v>
      </c>
      <c r="T78" s="289">
        <f>IF(D78&lt;&gt;0,$G78/D78,"")</f>
        <v>0.33488841013940318</v>
      </c>
      <c r="U78" s="289">
        <f>IF(D78&lt;&gt;0,$H78/D78,"")</f>
        <v>0</v>
      </c>
      <c r="V78" s="289">
        <f>IF(D78&lt;&gt;0,$I78/D78,"")</f>
        <v>4.6103823589694927E-3</v>
      </c>
      <c r="W78" s="265"/>
    </row>
    <row r="79" spans="1:23">
      <c r="A79" s="285" t="s">
        <v>133</v>
      </c>
      <c r="B79" s="275">
        <f>CDCM!B191+CDCM!C191+CDCM!D191</f>
        <v>39916.89963620968</v>
      </c>
      <c r="C79" s="276">
        <f>CDCM!E191</f>
        <v>102.52944728092592</v>
      </c>
      <c r="D79" s="275">
        <f>0.01*CDCM!F$14*(CDCM!$E4423*CDCM!E191+CDCM!$F4423*CDCM!F191+CDCM!$G4423*CDCM!G191)+10*(CDCM!$B4423*CDCM!B191+CDCM!$C4423*CDCM!C191+CDCM!$D4423*CDCM!D191+CDCM!$H4423*CDCM!H191)</f>
        <v>475773.35648573452</v>
      </c>
      <c r="E79" s="275">
        <f>10*(CDCM!$B4423*CDCM!B191+CDCM!$C4423*CDCM!C191+CDCM!$D4423*CDCM!D191)</f>
        <v>370211.40099257964</v>
      </c>
      <c r="F79" s="275">
        <f>CDCM!E4423*CDCM!$F$14*CDCM!$E191/100</f>
        <v>1893.6163618314208</v>
      </c>
      <c r="G79" s="275">
        <f>CDCM!F4423*CDCM!$F$14*CDCM!$F191/100</f>
        <v>101616.09825150002</v>
      </c>
      <c r="H79" s="275">
        <f>CDCM!G4423*CDCM!$F$14*CDCM!$G191/100</f>
        <v>930.18646035000017</v>
      </c>
      <c r="I79" s="275">
        <f>CDCM!H4423*CDCM!$H191*10</f>
        <v>1122.0544194734484</v>
      </c>
      <c r="J79" s="273">
        <f>IF(B79&lt;&gt;0,0.1*D79/B79,"")</f>
        <v>1.1919095942364919</v>
      </c>
      <c r="K79" s="278">
        <f>IF(C79&lt;&gt;0,D79/C79,"")</f>
        <v>4640.3581517623679</v>
      </c>
      <c r="L79" s="273">
        <f>IF(B79&lt;&gt;0,0.1*E79/B79,0)</f>
        <v>0.9274552993007279</v>
      </c>
      <c r="M79" s="275">
        <f>CDCM!B4423*CDCM!$B191*10</f>
        <v>134809.48042793156</v>
      </c>
      <c r="N79" s="275">
        <f>CDCM!C4423*CDCM!$C191*10</f>
        <v>135680.12917604533</v>
      </c>
      <c r="O79" s="275">
        <f>CDCM!D4423*CDCM!$D191*10</f>
        <v>99721.791388602782</v>
      </c>
      <c r="P79" s="289">
        <f>IF(E79&lt;&gt;0,$M79/E79,"")</f>
        <v>0.36414189316291107</v>
      </c>
      <c r="Q79" s="289">
        <f>IF(E79&lt;&gt;0,$N79/E79,"")</f>
        <v>0.36649365419938768</v>
      </c>
      <c r="R79" s="289">
        <f>IF(E79&lt;&gt;0,$O79/E79,"")</f>
        <v>0.26936445263770137</v>
      </c>
      <c r="S79" s="289">
        <f>IF(D79&lt;&gt;0,$F79/D79,"")</f>
        <v>3.9800807170424189E-3</v>
      </c>
      <c r="T79" s="289">
        <f>IF(D79&lt;&gt;0,$G79/D79,"")</f>
        <v>0.21358089280593595</v>
      </c>
      <c r="U79" s="289">
        <f>IF(D79&lt;&gt;0,$H79/D79,"")</f>
        <v>1.9551041429069402E-3</v>
      </c>
      <c r="V79" s="289">
        <f>IF(D79&lt;&gt;0,$I79/D79,"")</f>
        <v>2.3583801072036112E-3</v>
      </c>
      <c r="W79" s="265"/>
    </row>
    <row r="80" spans="1:23">
      <c r="A80" s="288" t="s">
        <v>134</v>
      </c>
      <c r="W80" s="265"/>
    </row>
    <row r="81" spans="1:23">
      <c r="A81" s="285" t="s">
        <v>61</v>
      </c>
      <c r="B81" s="275">
        <f>CDCM!B193+CDCM!C193+CDCM!D193</f>
        <v>760069.66687337018</v>
      </c>
      <c r="C81" s="276">
        <f>CDCM!E193</f>
        <v>1936.9854039786185</v>
      </c>
      <c r="D81" s="275">
        <f>0.01*CDCM!F$14*(CDCM!$E4425*CDCM!E193+CDCM!$F4425*CDCM!F193+CDCM!$G4425*CDCM!G193)+10*(CDCM!$B4425*CDCM!B193+CDCM!$C4425*CDCM!C193+CDCM!$D4425*CDCM!D193+CDCM!$H4425*CDCM!H193)</f>
        <v>21042947.363143142</v>
      </c>
      <c r="E81" s="275">
        <f>10*(CDCM!$B4425*CDCM!B193+CDCM!$C4425*CDCM!C193+CDCM!$D4425*CDCM!D193)</f>
        <v>15849004.086331306</v>
      </c>
      <c r="F81" s="275">
        <f>CDCM!E4425*CDCM!$F$14*CDCM!$E193/100</f>
        <v>72255.366524614408</v>
      </c>
      <c r="G81" s="275">
        <f>CDCM!F4425*CDCM!$F$14*CDCM!$F193/100</f>
        <v>4896728.8455585288</v>
      </c>
      <c r="H81" s="275">
        <f>CDCM!G4425*CDCM!$F$14*CDCM!$G193/100</f>
        <v>146077.23102790391</v>
      </c>
      <c r="I81" s="275">
        <f>CDCM!H4425*CDCM!$H193*10</f>
        <v>78881.833700790157</v>
      </c>
      <c r="J81" s="273">
        <f>IF(B81&lt;&gt;0,0.1*D81/B81,"")</f>
        <v>2.7685550786029407</v>
      </c>
      <c r="K81" s="278">
        <f>IF(C81&lt;&gt;0,D81/C81,"")</f>
        <v>10863.761451129358</v>
      </c>
      <c r="L81" s="273">
        <f>IF(B81&lt;&gt;0,0.1*E81/B81,0)</f>
        <v>2.0852041302382083</v>
      </c>
      <c r="M81" s="275">
        <f>CDCM!B4425*CDCM!$B193*10</f>
        <v>4669798.0980241811</v>
      </c>
      <c r="N81" s="275">
        <f>CDCM!C4425*CDCM!$C193*10</f>
        <v>6085094.3573629837</v>
      </c>
      <c r="O81" s="275">
        <f>CDCM!D4425*CDCM!$D193*10</f>
        <v>5094111.6309441412</v>
      </c>
      <c r="P81" s="289">
        <f>IF(E81&lt;&gt;0,$M81/E81,"")</f>
        <v>0.2946429991807224</v>
      </c>
      <c r="Q81" s="289">
        <f>IF(E81&lt;&gt;0,$N81/E81,"")</f>
        <v>0.38394174953939003</v>
      </c>
      <c r="R81" s="289">
        <f>IF(E81&lt;&gt;0,$O81/E81,"")</f>
        <v>0.32141525127988751</v>
      </c>
      <c r="S81" s="289">
        <f>IF(D81&lt;&gt;0,$F81/D81,"")</f>
        <v>3.4337094171118894E-3</v>
      </c>
      <c r="T81" s="289">
        <f>IF(D81&lt;&gt;0,$G81/D81,"")</f>
        <v>0.23270166298734277</v>
      </c>
      <c r="U81" s="289">
        <f>IF(D81&lt;&gt;0,$H81/D81,"")</f>
        <v>6.9418617319624686E-3</v>
      </c>
      <c r="V81" s="289">
        <f>IF(D81&lt;&gt;0,$I81/D81,"")</f>
        <v>3.7486114630002924E-3</v>
      </c>
      <c r="W81" s="265"/>
    </row>
    <row r="82" spans="1:23">
      <c r="A82" s="285" t="s">
        <v>135</v>
      </c>
      <c r="B82" s="275">
        <f>CDCM!B194+CDCM!C194+CDCM!D194</f>
        <v>97.468668128697857</v>
      </c>
      <c r="C82" s="276">
        <f>CDCM!E194</f>
        <v>1.1758993150684933</v>
      </c>
      <c r="D82" s="275">
        <f>0.01*CDCM!F$14*(CDCM!$E4426*CDCM!E194+CDCM!$F4426*CDCM!F194+CDCM!$G4426*CDCM!G194)+10*(CDCM!$B4426*CDCM!B194+CDCM!$C4426*CDCM!C194+CDCM!$D4426*CDCM!D194+CDCM!$H4426*CDCM!H194)</f>
        <v>6598.7108214449163</v>
      </c>
      <c r="E82" s="275">
        <f>10*(CDCM!$B4426*CDCM!B194+CDCM!$C4426*CDCM!C194+CDCM!$D4426*CDCM!D194)</f>
        <v>1308.6161156399169</v>
      </c>
      <c r="F82" s="275">
        <f>CDCM!E4426*CDCM!$F$14*CDCM!$E194/100</f>
        <v>27.426087675000005</v>
      </c>
      <c r="G82" s="275">
        <f>CDCM!F4426*CDCM!$F$14*CDCM!$F194/100</f>
        <v>5261.6026417499988</v>
      </c>
      <c r="H82" s="275">
        <f>CDCM!G4426*CDCM!$F$14*CDCM!$G194/100</f>
        <v>0</v>
      </c>
      <c r="I82" s="275">
        <f>CDCM!H4426*CDCM!$H194*10</f>
        <v>1.0659763799999999</v>
      </c>
      <c r="J82" s="273">
        <f>IF(B82&lt;&gt;0,0.1*D82/B82,"")</f>
        <v>6.7700841184491853</v>
      </c>
      <c r="K82" s="278">
        <f>IF(C82&lt;&gt;0,D82/C82,"")</f>
        <v>5611.6291053886334</v>
      </c>
      <c r="L82" s="273">
        <f>IF(B82&lt;&gt;0,0.1*E82/B82,0)</f>
        <v>1.3426018235029302</v>
      </c>
      <c r="M82" s="275">
        <f>CDCM!B4426*CDCM!$B194*10</f>
        <v>430.49103624917973</v>
      </c>
      <c r="N82" s="275">
        <f>CDCM!C4426*CDCM!$C194*10</f>
        <v>389.16994539662397</v>
      </c>
      <c r="O82" s="275">
        <f>CDCM!D4426*CDCM!$D194*10</f>
        <v>488.95513399411323</v>
      </c>
      <c r="P82" s="289">
        <f>IF(E82&lt;&gt;0,$M82/E82,"")</f>
        <v>0.32896663208114968</v>
      </c>
      <c r="Q82" s="289">
        <f>IF(E82&lt;&gt;0,$N82/E82,"")</f>
        <v>0.29739045755700388</v>
      </c>
      <c r="R82" s="289">
        <f>IF(E82&lt;&gt;0,$O82/E82,"")</f>
        <v>0.37364291036184649</v>
      </c>
      <c r="S82" s="289">
        <f>IF(D82&lt;&gt;0,$F82/D82,"")</f>
        <v>4.1562796760041274E-3</v>
      </c>
      <c r="T82" s="289">
        <f>IF(D82&lt;&gt;0,$G82/D82,"")</f>
        <v>0.79736827148880396</v>
      </c>
      <c r="U82" s="289">
        <f>IF(D82&lt;&gt;0,$H82/D82,"")</f>
        <v>0</v>
      </c>
      <c r="V82" s="289">
        <f>IF(D82&lt;&gt;0,$I82/D82,"")</f>
        <v>1.6154312695984815E-4</v>
      </c>
      <c r="W82" s="265"/>
    </row>
    <row r="83" spans="1:23">
      <c r="A83" s="288" t="s">
        <v>136</v>
      </c>
      <c r="W83" s="265"/>
    </row>
    <row r="84" spans="1:23">
      <c r="A84" s="285" t="s">
        <v>73</v>
      </c>
      <c r="B84" s="275">
        <f>CDCM!B196+CDCM!C196+CDCM!D196</f>
        <v>2430679.980335338</v>
      </c>
      <c r="C84" s="276">
        <f>CDCM!E196</f>
        <v>1060.270602740768</v>
      </c>
      <c r="D84" s="275">
        <f>0.01*CDCM!F$14*(CDCM!$E4428*CDCM!E196+CDCM!$F4428*CDCM!F196+CDCM!$G4428*CDCM!G196)+10*(CDCM!$B4428*CDCM!B196+CDCM!$C4428*CDCM!C196+CDCM!$D4428*CDCM!D196+CDCM!$H4428*CDCM!H196)</f>
        <v>56102584.184599869</v>
      </c>
      <c r="E84" s="275">
        <f>10*(CDCM!$B4428*CDCM!B196+CDCM!$C4428*CDCM!C196+CDCM!$D4428*CDCM!D196)</f>
        <v>45420370.616983987</v>
      </c>
      <c r="F84" s="275">
        <f>CDCM!E4428*CDCM!$F$14*CDCM!$E196/100</f>
        <v>392532.85241138586</v>
      </c>
      <c r="G84" s="275">
        <f>CDCM!F4428*CDCM!$F$14*CDCM!$F196/100</f>
        <v>9759913.9734622184</v>
      </c>
      <c r="H84" s="275">
        <f>CDCM!G4428*CDCM!$F$14*CDCM!$G196/100</f>
        <v>397084.52775400743</v>
      </c>
      <c r="I84" s="275">
        <f>CDCM!H4428*CDCM!$H196*10</f>
        <v>132682.21398827044</v>
      </c>
      <c r="J84" s="273">
        <f>IF(B84&lt;&gt;0,0.1*D84/B84,"")</f>
        <v>2.3081024502805971</v>
      </c>
      <c r="K84" s="278">
        <f>IF(C84&lt;&gt;0,D84/C84,"")</f>
        <v>52913.458167732235</v>
      </c>
      <c r="L84" s="273">
        <f>IF(B84&lt;&gt;0,0.1*E84/B84,0)</f>
        <v>1.8686281610266837</v>
      </c>
      <c r="M84" s="275">
        <f>CDCM!B4428*CDCM!$B196*10</f>
        <v>11224229.762452999</v>
      </c>
      <c r="N84" s="275">
        <f>CDCM!C4428*CDCM!$C196*10</f>
        <v>16794936.274741028</v>
      </c>
      <c r="O84" s="275">
        <f>CDCM!D4428*CDCM!$D196*10</f>
        <v>17401204.579789959</v>
      </c>
      <c r="P84" s="289">
        <f>IF(E84&lt;&gt;0,$M84/E84,"")</f>
        <v>0.2471188501983719</v>
      </c>
      <c r="Q84" s="289">
        <f>IF(E84&lt;&gt;0,$N84/E84,"")</f>
        <v>0.3697666057454167</v>
      </c>
      <c r="R84" s="289">
        <f>IF(E84&lt;&gt;0,$O84/E84,"")</f>
        <v>0.38311454405621131</v>
      </c>
      <c r="S84" s="289">
        <f>IF(D84&lt;&gt;0,$F84/D84,"")</f>
        <v>6.9966982469077763E-3</v>
      </c>
      <c r="T84" s="289">
        <f>IF(D84&lt;&gt;0,$G84/D84,"")</f>
        <v>0.17396549758471394</v>
      </c>
      <c r="U84" s="289">
        <f>IF(D84&lt;&gt;0,$H84/D84,"")</f>
        <v>7.0778295425294674E-3</v>
      </c>
      <c r="V84" s="289">
        <f>IF(D84&lt;&gt;0,$I84/D84,"")</f>
        <v>2.3649929128343366E-3</v>
      </c>
      <c r="W84" s="265"/>
    </row>
    <row r="85" spans="1:23">
      <c r="A85" s="285" t="s">
        <v>137</v>
      </c>
      <c r="B85" s="275">
        <f>CDCM!B197+CDCM!C197+CDCM!D197</f>
        <v>13594.749396071356</v>
      </c>
      <c r="C85" s="276">
        <f>CDCM!E197</f>
        <v>7.7141773972602756</v>
      </c>
      <c r="D85" s="275">
        <f>0.01*CDCM!F$14*(CDCM!$E4429*CDCM!E197+CDCM!$F4429*CDCM!F197+CDCM!$G4429*CDCM!G197)+10*(CDCM!$B4429*CDCM!B197+CDCM!$C4429*CDCM!C197+CDCM!$D4429*CDCM!D197+CDCM!$H4429*CDCM!H197)</f>
        <v>295278.14310849761</v>
      </c>
      <c r="E85" s="275">
        <f>10*(CDCM!$B4429*CDCM!B197+CDCM!$C4429*CDCM!C197+CDCM!$D4429*CDCM!D197)</f>
        <v>186994.829467637</v>
      </c>
      <c r="F85" s="275">
        <f>CDCM!E4429*CDCM!$F$14*CDCM!$E197/100</f>
        <v>2117.3874120000005</v>
      </c>
      <c r="G85" s="275">
        <f>CDCM!F4429*CDCM!$F$14*CDCM!$F197/100</f>
        <v>106012.01116799997</v>
      </c>
      <c r="H85" s="275">
        <f>CDCM!G4429*CDCM!$F$14*CDCM!$G197/100</f>
        <v>0</v>
      </c>
      <c r="I85" s="275">
        <f>CDCM!H4429*CDCM!$H197*10</f>
        <v>153.91506086068966</v>
      </c>
      <c r="J85" s="273">
        <f>IF(B85&lt;&gt;0,0.1*D85/B85,"")</f>
        <v>2.1720013698364151</v>
      </c>
      <c r="K85" s="278">
        <f>IF(C85&lt;&gt;0,D85/C85,"")</f>
        <v>38277.333784593407</v>
      </c>
      <c r="L85" s="273">
        <f>IF(B85&lt;&gt;0,0.1*E85/B85,0)</f>
        <v>1.3754930232231806</v>
      </c>
      <c r="M85" s="275">
        <f>CDCM!B4429*CDCM!$B197*10</f>
        <v>45295.989572960432</v>
      </c>
      <c r="N85" s="275">
        <f>CDCM!C4429*CDCM!$C197*10</f>
        <v>60988.386651684894</v>
      </c>
      <c r="O85" s="275">
        <f>CDCM!D4429*CDCM!$D197*10</f>
        <v>80710.453242991673</v>
      </c>
      <c r="P85" s="289">
        <f>IF(E85&lt;&gt;0,$M85/E85,"")</f>
        <v>0.24223124084187453</v>
      </c>
      <c r="Q85" s="289">
        <f>IF(E85&lt;&gt;0,$N85/E85,"")</f>
        <v>0.32615012310936697</v>
      </c>
      <c r="R85" s="289">
        <f>IF(E85&lt;&gt;0,$O85/E85,"")</f>
        <v>0.4316186360487585</v>
      </c>
      <c r="S85" s="289">
        <f>IF(D85&lt;&gt;0,$F85/D85,"")</f>
        <v>7.1708233793043846E-3</v>
      </c>
      <c r="T85" s="289">
        <f>IF(D85&lt;&gt;0,$G85/D85,"")</f>
        <v>0.3590242408461865</v>
      </c>
      <c r="U85" s="289">
        <f>IF(D85&lt;&gt;0,$H85/D85,"")</f>
        <v>0</v>
      </c>
      <c r="V85" s="289">
        <f>IF(D85&lt;&gt;0,$I85/D85,"")</f>
        <v>5.212545000465368E-4</v>
      </c>
      <c r="W85" s="265"/>
    </row>
    <row r="86" spans="1:23">
      <c r="A86" s="288" t="s">
        <v>138</v>
      </c>
      <c r="W86" s="265"/>
    </row>
    <row r="87" spans="1:23">
      <c r="A87" s="285" t="s">
        <v>93</v>
      </c>
      <c r="B87" s="275">
        <f>CDCM!B199+CDCM!C199+CDCM!D199</f>
        <v>10121.811870412395</v>
      </c>
      <c r="C87" s="276">
        <f>CDCM!E199</f>
        <v>741</v>
      </c>
      <c r="D87" s="275">
        <f>0.01*CDCM!F$14*(CDCM!$E4431*CDCM!E199+CDCM!$F4431*CDCM!F199+CDCM!$G4431*CDCM!G199)+10*(CDCM!$B4431*CDCM!B199+CDCM!$C4431*CDCM!C199+CDCM!$D4431*CDCM!D199+CDCM!$H4431*CDCM!H199)</f>
        <v>337157.5534034369</v>
      </c>
      <c r="E87" s="275">
        <f>10*(CDCM!$B4431*CDCM!B199+CDCM!$C4431*CDCM!C199+CDCM!$D4431*CDCM!D199)</f>
        <v>337157.5534034369</v>
      </c>
      <c r="F87" s="275">
        <f>CDCM!E4431*CDCM!$F$14*CDCM!$E199/100</f>
        <v>0</v>
      </c>
      <c r="G87" s="275">
        <f>CDCM!F4431*CDCM!$F$14*CDCM!$F199/100</f>
        <v>0</v>
      </c>
      <c r="H87" s="275">
        <f>CDCM!G4431*CDCM!$F$14*CDCM!$G199/100</f>
        <v>0</v>
      </c>
      <c r="I87" s="275">
        <f>CDCM!H4431*CDCM!$H199*10</f>
        <v>0</v>
      </c>
      <c r="J87" s="273">
        <f>IF(B87&lt;&gt;0,0.1*D87/B87,"")</f>
        <v>3.331</v>
      </c>
      <c r="K87" s="278">
        <f>IF(C87&lt;&gt;0,D87/C87,"")</f>
        <v>455.00344588857882</v>
      </c>
      <c r="L87" s="273">
        <f>IF(B87&lt;&gt;0,0.1*E87/B87,0)</f>
        <v>3.331</v>
      </c>
      <c r="M87" s="275">
        <f>CDCM!B4431*CDCM!$B199*10</f>
        <v>337157.5534034369</v>
      </c>
      <c r="N87" s="275">
        <f>CDCM!C4431*CDCM!$C199*10</f>
        <v>0</v>
      </c>
      <c r="O87" s="275">
        <f>CDCM!D4431*CDCM!$D199*10</f>
        <v>0</v>
      </c>
      <c r="P87" s="289">
        <f>IF(E87&lt;&gt;0,$M87/E87,"")</f>
        <v>1</v>
      </c>
      <c r="Q87" s="289">
        <f>IF(E87&lt;&gt;0,$N87/E87,"")</f>
        <v>0</v>
      </c>
      <c r="R87" s="289">
        <f>IF(E87&lt;&gt;0,$O87/E87,"")</f>
        <v>0</v>
      </c>
      <c r="S87" s="289">
        <f>IF(D87&lt;&gt;0,$F87/D87,"")</f>
        <v>0</v>
      </c>
      <c r="T87" s="289">
        <f>IF(D87&lt;&gt;0,$G87/D87,"")</f>
        <v>0</v>
      </c>
      <c r="U87" s="289">
        <f>IF(D87&lt;&gt;0,$H87/D87,"")</f>
        <v>0</v>
      </c>
      <c r="V87" s="289">
        <f>IF(D87&lt;&gt;0,$I87/D87,"")</f>
        <v>0</v>
      </c>
      <c r="W87" s="265"/>
    </row>
    <row r="88" spans="1:23">
      <c r="A88" s="285" t="s">
        <v>139</v>
      </c>
      <c r="B88" s="275">
        <f>CDCM!B200+CDCM!C200+CDCM!D200</f>
        <v>136.7981201637931</v>
      </c>
      <c r="C88" s="276">
        <f>CDCM!E200</f>
        <v>0</v>
      </c>
      <c r="D88" s="275">
        <f>0.01*CDCM!F$14*(CDCM!$E4432*CDCM!E200+CDCM!$F4432*CDCM!F200+CDCM!$G4432*CDCM!G200)+10*(CDCM!$B4432*CDCM!B200+CDCM!$C4432*CDCM!C200+CDCM!$D4432*CDCM!D200+CDCM!$H4432*CDCM!H200)</f>
        <v>2859.0807114232757</v>
      </c>
      <c r="E88" s="275">
        <f>10*(CDCM!$B4432*CDCM!B200+CDCM!$C4432*CDCM!C200+CDCM!$D4432*CDCM!D200)</f>
        <v>2859.0807114232757</v>
      </c>
      <c r="F88" s="275">
        <f>CDCM!E4432*CDCM!$F$14*CDCM!$E200/100</f>
        <v>0</v>
      </c>
      <c r="G88" s="275">
        <f>CDCM!F4432*CDCM!$F$14*CDCM!$F200/100</f>
        <v>0</v>
      </c>
      <c r="H88" s="275">
        <f>CDCM!G4432*CDCM!$F$14*CDCM!$G200/100</f>
        <v>0</v>
      </c>
      <c r="I88" s="275">
        <f>CDCM!H4432*CDCM!$H200*10</f>
        <v>0</v>
      </c>
      <c r="J88" s="273">
        <f>IF(B88&lt;&gt;0,0.1*D88/B88,"")</f>
        <v>2.09</v>
      </c>
      <c r="K88" s="278" t="str">
        <f>IF(C88&lt;&gt;0,D88/C88,"")</f>
        <v/>
      </c>
      <c r="L88" s="273">
        <f>IF(B88&lt;&gt;0,0.1*E88/B88,0)</f>
        <v>2.09</v>
      </c>
      <c r="M88" s="275">
        <f>CDCM!B4432*CDCM!$B200*10</f>
        <v>2859.0807114232757</v>
      </c>
      <c r="N88" s="275">
        <f>CDCM!C4432*CDCM!$C200*10</f>
        <v>0</v>
      </c>
      <c r="O88" s="275">
        <f>CDCM!D4432*CDCM!$D200*10</f>
        <v>0</v>
      </c>
      <c r="P88" s="289">
        <f>IF(E88&lt;&gt;0,$M88/E88,"")</f>
        <v>1</v>
      </c>
      <c r="Q88" s="289">
        <f>IF(E88&lt;&gt;0,$N88/E88,"")</f>
        <v>0</v>
      </c>
      <c r="R88" s="289">
        <f>IF(E88&lt;&gt;0,$O88/E88,"")</f>
        <v>0</v>
      </c>
      <c r="S88" s="289">
        <f>IF(D88&lt;&gt;0,$F88/D88,"")</f>
        <v>0</v>
      </c>
      <c r="T88" s="289">
        <f>IF(D88&lt;&gt;0,$G88/D88,"")</f>
        <v>0</v>
      </c>
      <c r="U88" s="289">
        <f>IF(D88&lt;&gt;0,$H88/D88,"")</f>
        <v>0</v>
      </c>
      <c r="V88" s="289">
        <f>IF(D88&lt;&gt;0,$I88/D88,"")</f>
        <v>0</v>
      </c>
      <c r="W88" s="265"/>
    </row>
    <row r="89" spans="1:23">
      <c r="A89" s="285" t="s">
        <v>140</v>
      </c>
      <c r="B89" s="275">
        <f>CDCM!B201+CDCM!C201+CDCM!D201</f>
        <v>23.736825</v>
      </c>
      <c r="C89" s="276">
        <f>CDCM!E201</f>
        <v>0</v>
      </c>
      <c r="D89" s="275">
        <f>0.01*CDCM!F$14*(CDCM!$E4433*CDCM!E201+CDCM!$F4433*CDCM!F201+CDCM!$G4433*CDCM!G201)+10*(CDCM!$B4433*CDCM!B201+CDCM!$C4433*CDCM!C201+CDCM!$D4433*CDCM!D201+CDCM!$H4433*CDCM!H201)</f>
        <v>301.45767749999999</v>
      </c>
      <c r="E89" s="275">
        <f>10*(CDCM!$B4433*CDCM!B201+CDCM!$C4433*CDCM!C201+CDCM!$D4433*CDCM!D201)</f>
        <v>301.45767749999999</v>
      </c>
      <c r="F89" s="275">
        <f>CDCM!E4433*CDCM!$F$14*CDCM!$E201/100</f>
        <v>0</v>
      </c>
      <c r="G89" s="275">
        <f>CDCM!F4433*CDCM!$F$14*CDCM!$F201/100</f>
        <v>0</v>
      </c>
      <c r="H89" s="275">
        <f>CDCM!G4433*CDCM!$F$14*CDCM!$G201/100</f>
        <v>0</v>
      </c>
      <c r="I89" s="275">
        <f>CDCM!H4433*CDCM!$H201*10</f>
        <v>0</v>
      </c>
      <c r="J89" s="273">
        <f>IF(B89&lt;&gt;0,0.1*D89/B89,"")</f>
        <v>1.27</v>
      </c>
      <c r="K89" s="278" t="str">
        <f>IF(C89&lt;&gt;0,D89/C89,"")</f>
        <v/>
      </c>
      <c r="L89" s="273">
        <f>IF(B89&lt;&gt;0,0.1*E89/B89,0)</f>
        <v>1.27</v>
      </c>
      <c r="M89" s="275">
        <f>CDCM!B4433*CDCM!$B201*10</f>
        <v>301.45767749999999</v>
      </c>
      <c r="N89" s="275">
        <f>CDCM!C4433*CDCM!$C201*10</f>
        <v>0</v>
      </c>
      <c r="O89" s="275">
        <f>CDCM!D4433*CDCM!$D201*10</f>
        <v>0</v>
      </c>
      <c r="P89" s="289">
        <f>IF(E89&lt;&gt;0,$M89/E89,"")</f>
        <v>1</v>
      </c>
      <c r="Q89" s="289">
        <f>IF(E89&lt;&gt;0,$N89/E89,"")</f>
        <v>0</v>
      </c>
      <c r="R89" s="289">
        <f>IF(E89&lt;&gt;0,$O89/E89,"")</f>
        <v>0</v>
      </c>
      <c r="S89" s="289">
        <f>IF(D89&lt;&gt;0,$F89/D89,"")</f>
        <v>0</v>
      </c>
      <c r="T89" s="289">
        <f>IF(D89&lt;&gt;0,$G89/D89,"")</f>
        <v>0</v>
      </c>
      <c r="U89" s="289">
        <f>IF(D89&lt;&gt;0,$H89/D89,"")</f>
        <v>0</v>
      </c>
      <c r="V89" s="289">
        <f>IF(D89&lt;&gt;0,$I89/D89,"")</f>
        <v>0</v>
      </c>
      <c r="W89" s="265"/>
    </row>
    <row r="90" spans="1:23">
      <c r="A90" s="288" t="s">
        <v>141</v>
      </c>
      <c r="W90" s="265"/>
    </row>
    <row r="91" spans="1:23">
      <c r="A91" s="285" t="s">
        <v>94</v>
      </c>
      <c r="B91" s="275">
        <f>CDCM!B203+CDCM!C203+CDCM!D203</f>
        <v>7712.9716131438981</v>
      </c>
      <c r="C91" s="276">
        <f>CDCM!E203</f>
        <v>689</v>
      </c>
      <c r="D91" s="275">
        <f>0.01*CDCM!F$14*(CDCM!$E4435*CDCM!E203+CDCM!$F4435*CDCM!F203+CDCM!$G4435*CDCM!G203)+10*(CDCM!$B4435*CDCM!B203+CDCM!$C4435*CDCM!C203+CDCM!$D4435*CDCM!D203+CDCM!$H4435*CDCM!H203)</f>
        <v>289390.69492515904</v>
      </c>
      <c r="E91" s="275">
        <f>10*(CDCM!$B4435*CDCM!B203+CDCM!$C4435*CDCM!C203+CDCM!$D4435*CDCM!D203)</f>
        <v>289390.69492515904</v>
      </c>
      <c r="F91" s="275">
        <f>CDCM!E4435*CDCM!$F$14*CDCM!$E203/100</f>
        <v>0</v>
      </c>
      <c r="G91" s="275">
        <f>CDCM!F4435*CDCM!$F$14*CDCM!$F203/100</f>
        <v>0</v>
      </c>
      <c r="H91" s="275">
        <f>CDCM!G4435*CDCM!$F$14*CDCM!$G203/100</f>
        <v>0</v>
      </c>
      <c r="I91" s="275">
        <f>CDCM!H4435*CDCM!$H203*10</f>
        <v>0</v>
      </c>
      <c r="J91" s="273">
        <f>IF(B91&lt;&gt;0,0.1*D91/B91,"")</f>
        <v>3.7519999999999998</v>
      </c>
      <c r="K91" s="278">
        <f>IF(C91&lt;&gt;0,D91/C91,"")</f>
        <v>420.01552238774894</v>
      </c>
      <c r="L91" s="273">
        <f>IF(B91&lt;&gt;0,0.1*E91/B91,0)</f>
        <v>3.7519999999999998</v>
      </c>
      <c r="M91" s="275">
        <f>CDCM!B4435*CDCM!$B203*10</f>
        <v>289390.69492515904</v>
      </c>
      <c r="N91" s="275">
        <f>CDCM!C4435*CDCM!$C203*10</f>
        <v>0</v>
      </c>
      <c r="O91" s="275">
        <f>CDCM!D4435*CDCM!$D203*10</f>
        <v>0</v>
      </c>
      <c r="P91" s="289">
        <f>IF(E91&lt;&gt;0,$M91/E91,"")</f>
        <v>1</v>
      </c>
      <c r="Q91" s="289">
        <f>IF(E91&lt;&gt;0,$N91/E91,"")</f>
        <v>0</v>
      </c>
      <c r="R91" s="289">
        <f>IF(E91&lt;&gt;0,$O91/E91,"")</f>
        <v>0</v>
      </c>
      <c r="S91" s="289">
        <f>IF(D91&lt;&gt;0,$F91/D91,"")</f>
        <v>0</v>
      </c>
      <c r="T91" s="289">
        <f>IF(D91&lt;&gt;0,$G91/D91,"")</f>
        <v>0</v>
      </c>
      <c r="U91" s="289">
        <f>IF(D91&lt;&gt;0,$H91/D91,"")</f>
        <v>0</v>
      </c>
      <c r="V91" s="289">
        <f>IF(D91&lt;&gt;0,$I91/D91,"")</f>
        <v>0</v>
      </c>
      <c r="W91" s="265"/>
    </row>
    <row r="92" spans="1:23">
      <c r="A92" s="285" t="s">
        <v>142</v>
      </c>
      <c r="B92" s="275">
        <f>CDCM!B204+CDCM!C204+CDCM!D204</f>
        <v>75.667019508620697</v>
      </c>
      <c r="C92" s="276">
        <f>CDCM!E204</f>
        <v>0</v>
      </c>
      <c r="D92" s="275">
        <f>0.01*CDCM!F$14*(CDCM!$E4436*CDCM!E204+CDCM!$F4436*CDCM!F204+CDCM!$G4436*CDCM!G204)+10*(CDCM!$B4436*CDCM!B204+CDCM!$C4436*CDCM!C204+CDCM!$D4436*CDCM!D204+CDCM!$H4436*CDCM!H204)</f>
        <v>1781.2016392329313</v>
      </c>
      <c r="E92" s="275">
        <f>10*(CDCM!$B4436*CDCM!B204+CDCM!$C4436*CDCM!C204+CDCM!$D4436*CDCM!D204)</f>
        <v>1781.2016392329313</v>
      </c>
      <c r="F92" s="275">
        <f>CDCM!E4436*CDCM!$F$14*CDCM!$E204/100</f>
        <v>0</v>
      </c>
      <c r="G92" s="275">
        <f>CDCM!F4436*CDCM!$F$14*CDCM!$F204/100</f>
        <v>0</v>
      </c>
      <c r="H92" s="275">
        <f>CDCM!G4436*CDCM!$F$14*CDCM!$G204/100</f>
        <v>0</v>
      </c>
      <c r="I92" s="275">
        <f>CDCM!H4436*CDCM!$H204*10</f>
        <v>0</v>
      </c>
      <c r="J92" s="273">
        <f>IF(B92&lt;&gt;0,0.1*D92/B92,"")</f>
        <v>2.3540000000000005</v>
      </c>
      <c r="K92" s="278" t="str">
        <f>IF(C92&lt;&gt;0,D92/C92,"")</f>
        <v/>
      </c>
      <c r="L92" s="273">
        <f>IF(B92&lt;&gt;0,0.1*E92/B92,0)</f>
        <v>2.3540000000000005</v>
      </c>
      <c r="M92" s="275">
        <f>CDCM!B4436*CDCM!$B204*10</f>
        <v>1781.2016392329313</v>
      </c>
      <c r="N92" s="275">
        <f>CDCM!C4436*CDCM!$C204*10</f>
        <v>0</v>
      </c>
      <c r="O92" s="275">
        <f>CDCM!D4436*CDCM!$D204*10</f>
        <v>0</v>
      </c>
      <c r="P92" s="289">
        <f>IF(E92&lt;&gt;0,$M92/E92,"")</f>
        <v>1</v>
      </c>
      <c r="Q92" s="289">
        <f>IF(E92&lt;&gt;0,$N92/E92,"")</f>
        <v>0</v>
      </c>
      <c r="R92" s="289">
        <f>IF(E92&lt;&gt;0,$O92/E92,"")</f>
        <v>0</v>
      </c>
      <c r="S92" s="289">
        <f>IF(D92&lt;&gt;0,$F92/D92,"")</f>
        <v>0</v>
      </c>
      <c r="T92" s="289">
        <f>IF(D92&lt;&gt;0,$G92/D92,"")</f>
        <v>0</v>
      </c>
      <c r="U92" s="289">
        <f>IF(D92&lt;&gt;0,$H92/D92,"")</f>
        <v>0</v>
      </c>
      <c r="V92" s="289">
        <f>IF(D92&lt;&gt;0,$I92/D92,"")</f>
        <v>0</v>
      </c>
      <c r="W92" s="265"/>
    </row>
    <row r="93" spans="1:23">
      <c r="A93" s="285" t="s">
        <v>143</v>
      </c>
      <c r="B93" s="275">
        <f>CDCM!B205+CDCM!C205+CDCM!D205</f>
        <v>301.33748599137931</v>
      </c>
      <c r="C93" s="276">
        <f>CDCM!E205</f>
        <v>0</v>
      </c>
      <c r="D93" s="275">
        <f>0.01*CDCM!F$14*(CDCM!$E4437*CDCM!E205+CDCM!$F4437*CDCM!F205+CDCM!$G4437*CDCM!G205)+10*(CDCM!$B4437*CDCM!B205+CDCM!$C4437*CDCM!C205+CDCM!$D4437*CDCM!D205+CDCM!$H4437*CDCM!H205)</f>
        <v>4309.1260496767236</v>
      </c>
      <c r="E93" s="275">
        <f>10*(CDCM!$B4437*CDCM!B205+CDCM!$C4437*CDCM!C205+CDCM!$D4437*CDCM!D205)</f>
        <v>4309.1260496767236</v>
      </c>
      <c r="F93" s="275">
        <f>CDCM!E4437*CDCM!$F$14*CDCM!$E205/100</f>
        <v>0</v>
      </c>
      <c r="G93" s="275">
        <f>CDCM!F4437*CDCM!$F$14*CDCM!$F205/100</f>
        <v>0</v>
      </c>
      <c r="H93" s="275">
        <f>CDCM!G4437*CDCM!$F$14*CDCM!$G205/100</f>
        <v>0</v>
      </c>
      <c r="I93" s="275">
        <f>CDCM!H4437*CDCM!$H205*10</f>
        <v>0</v>
      </c>
      <c r="J93" s="273">
        <f>IF(B93&lt;&gt;0,0.1*D93/B93,"")</f>
        <v>1.43</v>
      </c>
      <c r="K93" s="278" t="str">
        <f>IF(C93&lt;&gt;0,D93/C93,"")</f>
        <v/>
      </c>
      <c r="L93" s="273">
        <f>IF(B93&lt;&gt;0,0.1*E93/B93,0)</f>
        <v>1.43</v>
      </c>
      <c r="M93" s="275">
        <f>CDCM!B4437*CDCM!$B205*10</f>
        <v>4309.1260496767236</v>
      </c>
      <c r="N93" s="275">
        <f>CDCM!C4437*CDCM!$C205*10</f>
        <v>0</v>
      </c>
      <c r="O93" s="275">
        <f>CDCM!D4437*CDCM!$D205*10</f>
        <v>0</v>
      </c>
      <c r="P93" s="289">
        <f>IF(E93&lt;&gt;0,$M93/E93,"")</f>
        <v>1</v>
      </c>
      <c r="Q93" s="289">
        <f>IF(E93&lt;&gt;0,$N93/E93,"")</f>
        <v>0</v>
      </c>
      <c r="R93" s="289">
        <f>IF(E93&lt;&gt;0,$O93/E93,"")</f>
        <v>0</v>
      </c>
      <c r="S93" s="289">
        <f>IF(D93&lt;&gt;0,$F93/D93,"")</f>
        <v>0</v>
      </c>
      <c r="T93" s="289">
        <f>IF(D93&lt;&gt;0,$G93/D93,"")</f>
        <v>0</v>
      </c>
      <c r="U93" s="289">
        <f>IF(D93&lt;&gt;0,$H93/D93,"")</f>
        <v>0</v>
      </c>
      <c r="V93" s="289">
        <f>IF(D93&lt;&gt;0,$I93/D93,"")</f>
        <v>0</v>
      </c>
      <c r="W93" s="265"/>
    </row>
    <row r="94" spans="1:23">
      <c r="A94" s="288" t="s">
        <v>144</v>
      </c>
      <c r="W94" s="265"/>
    </row>
    <row r="95" spans="1:23">
      <c r="A95" s="285" t="s">
        <v>95</v>
      </c>
      <c r="B95" s="275">
        <f>CDCM!B207+CDCM!C207+CDCM!D207</f>
        <v>989.1872895940935</v>
      </c>
      <c r="C95" s="276">
        <f>CDCM!E207</f>
        <v>179</v>
      </c>
      <c r="D95" s="275">
        <f>0.01*CDCM!F$14*(CDCM!$E4439*CDCM!E207+CDCM!$F4439*CDCM!F207+CDCM!$G4439*CDCM!G207)+10*(CDCM!$B4439*CDCM!B207+CDCM!$C4439*CDCM!C207+CDCM!$D4439*CDCM!D207+CDCM!$H4439*CDCM!H207)</f>
        <v>46897.369399655974</v>
      </c>
      <c r="E95" s="275">
        <f>10*(CDCM!$B4439*CDCM!B207+CDCM!$C4439*CDCM!C207+CDCM!$D4439*CDCM!D207)</f>
        <v>46897.369399655974</v>
      </c>
      <c r="F95" s="275">
        <f>CDCM!E4439*CDCM!$F$14*CDCM!$E207/100</f>
        <v>0</v>
      </c>
      <c r="G95" s="275">
        <f>CDCM!F4439*CDCM!$F$14*CDCM!$F207/100</f>
        <v>0</v>
      </c>
      <c r="H95" s="275">
        <f>CDCM!G4439*CDCM!$F$14*CDCM!$G207/100</f>
        <v>0</v>
      </c>
      <c r="I95" s="275">
        <f>CDCM!H4439*CDCM!$H207*10</f>
        <v>0</v>
      </c>
      <c r="J95" s="273">
        <f>IF(B95&lt;&gt;0,0.1*D95/B95,"")</f>
        <v>4.7409999999999997</v>
      </c>
      <c r="K95" s="278">
        <f>IF(C95&lt;&gt;0,D95/C95,"")</f>
        <v>261.99647709305015</v>
      </c>
      <c r="L95" s="273">
        <f>IF(B95&lt;&gt;0,0.1*E95/B95,0)</f>
        <v>4.7409999999999997</v>
      </c>
      <c r="M95" s="275">
        <f>CDCM!B4439*CDCM!$B207*10</f>
        <v>46897.369399655974</v>
      </c>
      <c r="N95" s="275">
        <f>CDCM!C4439*CDCM!$C207*10</f>
        <v>0</v>
      </c>
      <c r="O95" s="275">
        <f>CDCM!D4439*CDCM!$D207*10</f>
        <v>0</v>
      </c>
      <c r="P95" s="289">
        <f>IF(E95&lt;&gt;0,$M95/E95,"")</f>
        <v>1</v>
      </c>
      <c r="Q95" s="289">
        <f>IF(E95&lt;&gt;0,$N95/E95,"")</f>
        <v>0</v>
      </c>
      <c r="R95" s="289">
        <f>IF(E95&lt;&gt;0,$O95/E95,"")</f>
        <v>0</v>
      </c>
      <c r="S95" s="289">
        <f>IF(D95&lt;&gt;0,$F95/D95,"")</f>
        <v>0</v>
      </c>
      <c r="T95" s="289">
        <f>IF(D95&lt;&gt;0,$G95/D95,"")</f>
        <v>0</v>
      </c>
      <c r="U95" s="289">
        <f>IF(D95&lt;&gt;0,$H95/D95,"")</f>
        <v>0</v>
      </c>
      <c r="V95" s="289">
        <f>IF(D95&lt;&gt;0,$I95/D95,"")</f>
        <v>0</v>
      </c>
      <c r="W95" s="265"/>
    </row>
    <row r="96" spans="1:23">
      <c r="A96" s="285" t="s">
        <v>145</v>
      </c>
      <c r="B96" s="275">
        <f>CDCM!B208+CDCM!C208+CDCM!D208</f>
        <v>5.1353499568965537</v>
      </c>
      <c r="C96" s="276">
        <f>CDCM!E208</f>
        <v>0</v>
      </c>
      <c r="D96" s="275">
        <f>0.01*CDCM!F$14*(CDCM!$E4440*CDCM!E208+CDCM!$F4440*CDCM!F208+CDCM!$G4440*CDCM!G208)+10*(CDCM!$B4440*CDCM!B208+CDCM!$C4440*CDCM!C208+CDCM!$D4440*CDCM!D208+CDCM!$H4440*CDCM!H208)</f>
        <v>152.72530771810352</v>
      </c>
      <c r="E96" s="275">
        <f>10*(CDCM!$B4440*CDCM!B208+CDCM!$C4440*CDCM!C208+CDCM!$D4440*CDCM!D208)</f>
        <v>152.72530771810352</v>
      </c>
      <c r="F96" s="275">
        <f>CDCM!E4440*CDCM!$F$14*CDCM!$E208/100</f>
        <v>0</v>
      </c>
      <c r="G96" s="275">
        <f>CDCM!F4440*CDCM!$F$14*CDCM!$F208/100</f>
        <v>0</v>
      </c>
      <c r="H96" s="275">
        <f>CDCM!G4440*CDCM!$F$14*CDCM!$G208/100</f>
        <v>0</v>
      </c>
      <c r="I96" s="275">
        <f>CDCM!H4440*CDCM!$H208*10</f>
        <v>0</v>
      </c>
      <c r="J96" s="273">
        <f>IF(B96&lt;&gt;0,0.1*D96/B96,"")</f>
        <v>2.9740000000000002</v>
      </c>
      <c r="K96" s="278" t="str">
        <f>IF(C96&lt;&gt;0,D96/C96,"")</f>
        <v/>
      </c>
      <c r="L96" s="273">
        <f>IF(B96&lt;&gt;0,0.1*E96/B96,0)</f>
        <v>2.9740000000000002</v>
      </c>
      <c r="M96" s="275">
        <f>CDCM!B4440*CDCM!$B208*10</f>
        <v>152.72530771810352</v>
      </c>
      <c r="N96" s="275">
        <f>CDCM!C4440*CDCM!$C208*10</f>
        <v>0</v>
      </c>
      <c r="O96" s="275">
        <f>CDCM!D4440*CDCM!$D208*10</f>
        <v>0</v>
      </c>
      <c r="P96" s="289">
        <f>IF(E96&lt;&gt;0,$M96/E96,"")</f>
        <v>1</v>
      </c>
      <c r="Q96" s="289">
        <f>IF(E96&lt;&gt;0,$N96/E96,"")</f>
        <v>0</v>
      </c>
      <c r="R96" s="289">
        <f>IF(E96&lt;&gt;0,$O96/E96,"")</f>
        <v>0</v>
      </c>
      <c r="S96" s="289">
        <f>IF(D96&lt;&gt;0,$F96/D96,"")</f>
        <v>0</v>
      </c>
      <c r="T96" s="289">
        <f>IF(D96&lt;&gt;0,$G96/D96,"")</f>
        <v>0</v>
      </c>
      <c r="U96" s="289">
        <f>IF(D96&lt;&gt;0,$H96/D96,"")</f>
        <v>0</v>
      </c>
      <c r="V96" s="289">
        <f>IF(D96&lt;&gt;0,$I96/D96,"")</f>
        <v>0</v>
      </c>
      <c r="W96" s="265"/>
    </row>
    <row r="97" spans="1:23">
      <c r="A97" s="285" t="s">
        <v>146</v>
      </c>
      <c r="B97" s="275">
        <f>CDCM!B209+CDCM!C209+CDCM!D209</f>
        <v>2.9883946810344835</v>
      </c>
      <c r="C97" s="276">
        <f>CDCM!E209</f>
        <v>0</v>
      </c>
      <c r="D97" s="275">
        <f>0.01*CDCM!F$14*(CDCM!$E4441*CDCM!E209+CDCM!$F4441*CDCM!F209+CDCM!$G4441*CDCM!G209)+10*(CDCM!$B4441*CDCM!B209+CDCM!$C4441*CDCM!C209+CDCM!$D4441*CDCM!D209+CDCM!$H4441*CDCM!H209)</f>
        <v>54.000291886293112</v>
      </c>
      <c r="E97" s="275">
        <f>10*(CDCM!$B4441*CDCM!B209+CDCM!$C4441*CDCM!C209+CDCM!$D4441*CDCM!D209)</f>
        <v>54.000291886293112</v>
      </c>
      <c r="F97" s="275">
        <f>CDCM!E4441*CDCM!$F$14*CDCM!$E209/100</f>
        <v>0</v>
      </c>
      <c r="G97" s="275">
        <f>CDCM!F4441*CDCM!$F$14*CDCM!$F209/100</f>
        <v>0</v>
      </c>
      <c r="H97" s="275">
        <f>CDCM!G4441*CDCM!$F$14*CDCM!$G209/100</f>
        <v>0</v>
      </c>
      <c r="I97" s="275">
        <f>CDCM!H4441*CDCM!$H209*10</f>
        <v>0</v>
      </c>
      <c r="J97" s="273">
        <f>IF(B97&lt;&gt;0,0.1*D97/B97,"")</f>
        <v>1.8069999999999999</v>
      </c>
      <c r="K97" s="278" t="str">
        <f>IF(C97&lt;&gt;0,D97/C97,"")</f>
        <v/>
      </c>
      <c r="L97" s="273">
        <f>IF(B97&lt;&gt;0,0.1*E97/B97,0)</f>
        <v>1.8069999999999999</v>
      </c>
      <c r="M97" s="275">
        <f>CDCM!B4441*CDCM!$B209*10</f>
        <v>54.000291886293112</v>
      </c>
      <c r="N97" s="275">
        <f>CDCM!C4441*CDCM!$C209*10</f>
        <v>0</v>
      </c>
      <c r="O97" s="275">
        <f>CDCM!D4441*CDCM!$D209*10</f>
        <v>0</v>
      </c>
      <c r="P97" s="289">
        <f>IF(E97&lt;&gt;0,$M97/E97,"")</f>
        <v>1</v>
      </c>
      <c r="Q97" s="289">
        <f>IF(E97&lt;&gt;0,$N97/E97,"")</f>
        <v>0</v>
      </c>
      <c r="R97" s="289">
        <f>IF(E97&lt;&gt;0,$O97/E97,"")</f>
        <v>0</v>
      </c>
      <c r="S97" s="289">
        <f>IF(D97&lt;&gt;0,$F97/D97,"")</f>
        <v>0</v>
      </c>
      <c r="T97" s="289">
        <f>IF(D97&lt;&gt;0,$G97/D97,"")</f>
        <v>0</v>
      </c>
      <c r="U97" s="289">
        <f>IF(D97&lt;&gt;0,$H97/D97,"")</f>
        <v>0</v>
      </c>
      <c r="V97" s="289">
        <f>IF(D97&lt;&gt;0,$I97/D97,"")</f>
        <v>0</v>
      </c>
      <c r="W97" s="265"/>
    </row>
    <row r="98" spans="1:23">
      <c r="A98" s="288" t="s">
        <v>147</v>
      </c>
      <c r="W98" s="265"/>
    </row>
    <row r="99" spans="1:23">
      <c r="A99" s="285" t="s">
        <v>96</v>
      </c>
      <c r="B99" s="275">
        <f>CDCM!B211+CDCM!C211+CDCM!D211</f>
        <v>0</v>
      </c>
      <c r="C99" s="276">
        <f>CDCM!E211</f>
        <v>1</v>
      </c>
      <c r="D99" s="275">
        <f>0.01*CDCM!F$14*(CDCM!$E4443*CDCM!E211+CDCM!$F4443*CDCM!F211+CDCM!$G4443*CDCM!G211)+10*(CDCM!$B4443*CDCM!B211+CDCM!$C4443*CDCM!C211+CDCM!$D4443*CDCM!D211+CDCM!$H4443*CDCM!H211)</f>
        <v>0</v>
      </c>
      <c r="E99" s="275">
        <f>10*(CDCM!$B4443*CDCM!B211+CDCM!$C4443*CDCM!C211+CDCM!$D4443*CDCM!D211)</f>
        <v>0</v>
      </c>
      <c r="F99" s="275">
        <f>CDCM!E4443*CDCM!$F$14*CDCM!$E211/100</f>
        <v>0</v>
      </c>
      <c r="G99" s="275">
        <f>CDCM!F4443*CDCM!$F$14*CDCM!$F211/100</f>
        <v>0</v>
      </c>
      <c r="H99" s="275">
        <f>CDCM!G4443*CDCM!$F$14*CDCM!$G211/100</f>
        <v>0</v>
      </c>
      <c r="I99" s="275">
        <f>CDCM!H4443*CDCM!$H211*10</f>
        <v>0</v>
      </c>
      <c r="J99" s="273" t="str">
        <f>IF(B99&lt;&gt;0,0.1*D99/B99,"")</f>
        <v/>
      </c>
      <c r="K99" s="278">
        <f>IF(C99&lt;&gt;0,D99/C99,"")</f>
        <v>0</v>
      </c>
      <c r="L99" s="273">
        <f>IF(B99&lt;&gt;0,0.1*E99/B99,0)</f>
        <v>0</v>
      </c>
      <c r="M99" s="275">
        <f>CDCM!B4443*CDCM!$B211*10</f>
        <v>0</v>
      </c>
      <c r="N99" s="275">
        <f>CDCM!C4443*CDCM!$C211*10</f>
        <v>0</v>
      </c>
      <c r="O99" s="275">
        <f>CDCM!D4443*CDCM!$D211*10</f>
        <v>0</v>
      </c>
      <c r="P99" s="289" t="str">
        <f>IF(E99&lt;&gt;0,$M99/E99,"")</f>
        <v/>
      </c>
      <c r="Q99" s="289" t="str">
        <f>IF(E99&lt;&gt;0,$N99/E99,"")</f>
        <v/>
      </c>
      <c r="R99" s="289" t="str">
        <f>IF(E99&lt;&gt;0,$O99/E99,"")</f>
        <v/>
      </c>
      <c r="S99" s="289" t="str">
        <f>IF(D99&lt;&gt;0,$F99/D99,"")</f>
        <v/>
      </c>
      <c r="T99" s="289" t="str">
        <f>IF(D99&lt;&gt;0,$G99/D99,"")</f>
        <v/>
      </c>
      <c r="U99" s="289" t="str">
        <f>IF(D99&lt;&gt;0,$H99/D99,"")</f>
        <v/>
      </c>
      <c r="V99" s="289" t="str">
        <f>IF(D99&lt;&gt;0,$I99/D99,"")</f>
        <v/>
      </c>
      <c r="W99" s="265"/>
    </row>
    <row r="100" spans="1:23">
      <c r="A100" s="285" t="s">
        <v>148</v>
      </c>
      <c r="B100" s="275">
        <f>CDCM!B212+CDCM!C212+CDCM!D212</f>
        <v>0</v>
      </c>
      <c r="C100" s="276">
        <f>CDCM!E212</f>
        <v>0</v>
      </c>
      <c r="D100" s="275">
        <f>0.01*CDCM!F$14*(CDCM!$E4444*CDCM!E212+CDCM!$F4444*CDCM!F212+CDCM!$G4444*CDCM!G212)+10*(CDCM!$B4444*CDCM!B212+CDCM!$C4444*CDCM!C212+CDCM!$D4444*CDCM!D212+CDCM!$H4444*CDCM!H212)</f>
        <v>0</v>
      </c>
      <c r="E100" s="275">
        <f>10*(CDCM!$B4444*CDCM!B212+CDCM!$C4444*CDCM!C212+CDCM!$D4444*CDCM!D212)</f>
        <v>0</v>
      </c>
      <c r="F100" s="275">
        <f>CDCM!E4444*CDCM!$F$14*CDCM!$E212/100</f>
        <v>0</v>
      </c>
      <c r="G100" s="275">
        <f>CDCM!F4444*CDCM!$F$14*CDCM!$F212/100</f>
        <v>0</v>
      </c>
      <c r="H100" s="275">
        <f>CDCM!G4444*CDCM!$F$14*CDCM!$G212/100</f>
        <v>0</v>
      </c>
      <c r="I100" s="275">
        <f>CDCM!H4444*CDCM!$H212*10</f>
        <v>0</v>
      </c>
      <c r="J100" s="273" t="str">
        <f>IF(B100&lt;&gt;0,0.1*D100/B100,"")</f>
        <v/>
      </c>
      <c r="K100" s="278" t="str">
        <f>IF(C100&lt;&gt;0,D100/C100,"")</f>
        <v/>
      </c>
      <c r="L100" s="273">
        <f>IF(B100&lt;&gt;0,0.1*E100/B100,0)</f>
        <v>0</v>
      </c>
      <c r="M100" s="275">
        <f>CDCM!B4444*CDCM!$B212*10</f>
        <v>0</v>
      </c>
      <c r="N100" s="275">
        <f>CDCM!C4444*CDCM!$C212*10</f>
        <v>0</v>
      </c>
      <c r="O100" s="275">
        <f>CDCM!D4444*CDCM!$D212*10</f>
        <v>0</v>
      </c>
      <c r="P100" s="289" t="str">
        <f>IF(E100&lt;&gt;0,$M100/E100,"")</f>
        <v/>
      </c>
      <c r="Q100" s="289" t="str">
        <f>IF(E100&lt;&gt;0,$N100/E100,"")</f>
        <v/>
      </c>
      <c r="R100" s="289" t="str">
        <f>IF(E100&lt;&gt;0,$O100/E100,"")</f>
        <v/>
      </c>
      <c r="S100" s="289" t="str">
        <f>IF(D100&lt;&gt;0,$F100/D100,"")</f>
        <v/>
      </c>
      <c r="T100" s="289" t="str">
        <f>IF(D100&lt;&gt;0,$G100/D100,"")</f>
        <v/>
      </c>
      <c r="U100" s="289" t="str">
        <f>IF(D100&lt;&gt;0,$H100/D100,"")</f>
        <v/>
      </c>
      <c r="V100" s="289" t="str">
        <f>IF(D100&lt;&gt;0,$I100/D100,"")</f>
        <v/>
      </c>
      <c r="W100" s="265"/>
    </row>
    <row r="101" spans="1:23">
      <c r="A101" s="285" t="s">
        <v>149</v>
      </c>
      <c r="B101" s="275">
        <f>CDCM!B213+CDCM!C213+CDCM!D213</f>
        <v>0</v>
      </c>
      <c r="C101" s="276">
        <f>CDCM!E213</f>
        <v>0</v>
      </c>
      <c r="D101" s="275">
        <f>0.01*CDCM!F$14*(CDCM!$E4445*CDCM!E213+CDCM!$F4445*CDCM!F213+CDCM!$G4445*CDCM!G213)+10*(CDCM!$B4445*CDCM!B213+CDCM!$C4445*CDCM!C213+CDCM!$D4445*CDCM!D213+CDCM!$H4445*CDCM!H213)</f>
        <v>0</v>
      </c>
      <c r="E101" s="275">
        <f>10*(CDCM!$B4445*CDCM!B213+CDCM!$C4445*CDCM!C213+CDCM!$D4445*CDCM!D213)</f>
        <v>0</v>
      </c>
      <c r="F101" s="275">
        <f>CDCM!E4445*CDCM!$F$14*CDCM!$E213/100</f>
        <v>0</v>
      </c>
      <c r="G101" s="275">
        <f>CDCM!F4445*CDCM!$F$14*CDCM!$F213/100</f>
        <v>0</v>
      </c>
      <c r="H101" s="275">
        <f>CDCM!G4445*CDCM!$F$14*CDCM!$G213/100</f>
        <v>0</v>
      </c>
      <c r="I101" s="275">
        <f>CDCM!H4445*CDCM!$H213*10</f>
        <v>0</v>
      </c>
      <c r="J101" s="273" t="str">
        <f>IF(B101&lt;&gt;0,0.1*D101/B101,"")</f>
        <v/>
      </c>
      <c r="K101" s="278" t="str">
        <f>IF(C101&lt;&gt;0,D101/C101,"")</f>
        <v/>
      </c>
      <c r="L101" s="273">
        <f>IF(B101&lt;&gt;0,0.1*E101/B101,0)</f>
        <v>0</v>
      </c>
      <c r="M101" s="275">
        <f>CDCM!B4445*CDCM!$B213*10</f>
        <v>0</v>
      </c>
      <c r="N101" s="275">
        <f>CDCM!C4445*CDCM!$C213*10</f>
        <v>0</v>
      </c>
      <c r="O101" s="275">
        <f>CDCM!D4445*CDCM!$D213*10</f>
        <v>0</v>
      </c>
      <c r="P101" s="289" t="str">
        <f>IF(E101&lt;&gt;0,$M101/E101,"")</f>
        <v/>
      </c>
      <c r="Q101" s="289" t="str">
        <f>IF(E101&lt;&gt;0,$N101/E101,"")</f>
        <v/>
      </c>
      <c r="R101" s="289" t="str">
        <f>IF(E101&lt;&gt;0,$O101/E101,"")</f>
        <v/>
      </c>
      <c r="S101" s="289" t="str">
        <f>IF(D101&lt;&gt;0,$F101/D101,"")</f>
        <v/>
      </c>
      <c r="T101" s="289" t="str">
        <f>IF(D101&lt;&gt;0,$G101/D101,"")</f>
        <v/>
      </c>
      <c r="U101" s="289" t="str">
        <f>IF(D101&lt;&gt;0,$H101/D101,"")</f>
        <v/>
      </c>
      <c r="V101" s="289" t="str">
        <f>IF(D101&lt;&gt;0,$I101/D101,"")</f>
        <v/>
      </c>
      <c r="W101" s="265"/>
    </row>
    <row r="102" spans="1:23">
      <c r="A102" s="288" t="s">
        <v>150</v>
      </c>
      <c r="W102" s="265"/>
    </row>
    <row r="103" spans="1:23">
      <c r="A103" s="285" t="s">
        <v>97</v>
      </c>
      <c r="B103" s="275">
        <f>CDCM!B215+CDCM!C215+CDCM!D215</f>
        <v>113435.82553779185</v>
      </c>
      <c r="C103" s="276">
        <f>CDCM!E215</f>
        <v>27.444162911866147</v>
      </c>
      <c r="D103" s="275">
        <f>0.01*CDCM!F$14*(CDCM!$E4447*CDCM!E215+CDCM!$F4447*CDCM!F215+CDCM!$G4447*CDCM!G215)+10*(CDCM!$B4447*CDCM!B215+CDCM!$C4447*CDCM!C215+CDCM!$D4447*CDCM!D215+CDCM!$H4447*CDCM!H215)</f>
        <v>4449548.5697229933</v>
      </c>
      <c r="E103" s="275">
        <f>10*(CDCM!$B4447*CDCM!B215+CDCM!$C4447*CDCM!C215+CDCM!$D4447*CDCM!D215)</f>
        <v>4449548.5697229933</v>
      </c>
      <c r="F103" s="275">
        <f>CDCM!E4447*CDCM!$F$14*CDCM!$E215/100</f>
        <v>0</v>
      </c>
      <c r="G103" s="275">
        <f>CDCM!F4447*CDCM!$F$14*CDCM!$F215/100</f>
        <v>0</v>
      </c>
      <c r="H103" s="275">
        <f>CDCM!G4447*CDCM!$F$14*CDCM!$G215/100</f>
        <v>0</v>
      </c>
      <c r="I103" s="275">
        <f>CDCM!H4447*CDCM!$H215*10</f>
        <v>0</v>
      </c>
      <c r="J103" s="273">
        <f>IF(B103&lt;&gt;0,0.1*D103/B103,"")</f>
        <v>3.9225249594896265</v>
      </c>
      <c r="K103" s="278">
        <f>IF(C103&lt;&gt;0,D103/C103,"")</f>
        <v>162130.9632948988</v>
      </c>
      <c r="L103" s="273">
        <f>IF(B103&lt;&gt;0,0.1*E103/B103,0)</f>
        <v>3.9225249594896265</v>
      </c>
      <c r="M103" s="275">
        <f>CDCM!B4447*CDCM!$B215*10</f>
        <v>1570087.9672847667</v>
      </c>
      <c r="N103" s="275">
        <f>CDCM!C4447*CDCM!$C215*10</f>
        <v>879230.48041585705</v>
      </c>
      <c r="O103" s="275">
        <f>CDCM!D4447*CDCM!$D215*10</f>
        <v>2000230.1220223699</v>
      </c>
      <c r="P103" s="289">
        <f>IF(E103&lt;&gt;0,$M103/E103,"")</f>
        <v>0.35286455303993064</v>
      </c>
      <c r="Q103" s="289">
        <f>IF(E103&lt;&gt;0,$N103/E103,"")</f>
        <v>0.19759992876549126</v>
      </c>
      <c r="R103" s="289">
        <f>IF(E103&lt;&gt;0,$O103/E103,"")</f>
        <v>0.44953551819457815</v>
      </c>
      <c r="S103" s="289">
        <f>IF(D103&lt;&gt;0,$F103/D103,"")</f>
        <v>0</v>
      </c>
      <c r="T103" s="289">
        <f>IF(D103&lt;&gt;0,$G103/D103,"")</f>
        <v>0</v>
      </c>
      <c r="U103" s="289">
        <f>IF(D103&lt;&gt;0,$H103/D103,"")</f>
        <v>0</v>
      </c>
      <c r="V103" s="289">
        <f>IF(D103&lt;&gt;0,$I103/D103,"")</f>
        <v>0</v>
      </c>
      <c r="W103" s="265"/>
    </row>
    <row r="104" spans="1:23">
      <c r="A104" s="285" t="s">
        <v>151</v>
      </c>
      <c r="B104" s="275">
        <f>CDCM!B216+CDCM!C216+CDCM!D216</f>
        <v>0</v>
      </c>
      <c r="C104" s="276">
        <f>CDCM!E216</f>
        <v>0</v>
      </c>
      <c r="D104" s="275">
        <f>0.01*CDCM!F$14*(CDCM!$E4448*CDCM!E216+CDCM!$F4448*CDCM!F216+CDCM!$G4448*CDCM!G216)+10*(CDCM!$B4448*CDCM!B216+CDCM!$C4448*CDCM!C216+CDCM!$D4448*CDCM!D216+CDCM!$H4448*CDCM!H216)</f>
        <v>0</v>
      </c>
      <c r="E104" s="275">
        <f>10*(CDCM!$B4448*CDCM!B216+CDCM!$C4448*CDCM!C216+CDCM!$D4448*CDCM!D216)</f>
        <v>0</v>
      </c>
      <c r="F104" s="275">
        <f>CDCM!E4448*CDCM!$F$14*CDCM!$E216/100</f>
        <v>0</v>
      </c>
      <c r="G104" s="275">
        <f>CDCM!F4448*CDCM!$F$14*CDCM!$F216/100</f>
        <v>0</v>
      </c>
      <c r="H104" s="275">
        <f>CDCM!G4448*CDCM!$F$14*CDCM!$G216/100</f>
        <v>0</v>
      </c>
      <c r="I104" s="275">
        <f>CDCM!H4448*CDCM!$H216*10</f>
        <v>0</v>
      </c>
      <c r="J104" s="273" t="str">
        <f>IF(B104&lt;&gt;0,0.1*D104/B104,"")</f>
        <v/>
      </c>
      <c r="K104" s="278" t="str">
        <f>IF(C104&lt;&gt;0,D104/C104,"")</f>
        <v/>
      </c>
      <c r="L104" s="273">
        <f>IF(B104&lt;&gt;0,0.1*E104/B104,0)</f>
        <v>0</v>
      </c>
      <c r="M104" s="275">
        <f>CDCM!B4448*CDCM!$B216*10</f>
        <v>0</v>
      </c>
      <c r="N104" s="275">
        <f>CDCM!C4448*CDCM!$C216*10</f>
        <v>0</v>
      </c>
      <c r="O104" s="275">
        <f>CDCM!D4448*CDCM!$D216*10</f>
        <v>0</v>
      </c>
      <c r="P104" s="289" t="str">
        <f>IF(E104&lt;&gt;0,$M104/E104,"")</f>
        <v/>
      </c>
      <c r="Q104" s="289" t="str">
        <f>IF(E104&lt;&gt;0,$N104/E104,"")</f>
        <v/>
      </c>
      <c r="R104" s="289" t="str">
        <f>IF(E104&lt;&gt;0,$O104/E104,"")</f>
        <v/>
      </c>
      <c r="S104" s="289" t="str">
        <f>IF(D104&lt;&gt;0,$F104/D104,"")</f>
        <v/>
      </c>
      <c r="T104" s="289" t="str">
        <f>IF(D104&lt;&gt;0,$G104/D104,"")</f>
        <v/>
      </c>
      <c r="U104" s="289" t="str">
        <f>IF(D104&lt;&gt;0,$H104/D104,"")</f>
        <v/>
      </c>
      <c r="V104" s="289" t="str">
        <f>IF(D104&lt;&gt;0,$I104/D104,"")</f>
        <v/>
      </c>
      <c r="W104" s="265"/>
    </row>
    <row r="105" spans="1:23">
      <c r="A105" s="285" t="s">
        <v>152</v>
      </c>
      <c r="B105" s="275">
        <f>CDCM!B217+CDCM!C217+CDCM!D217</f>
        <v>42.541675523152165</v>
      </c>
      <c r="C105" s="276">
        <f>CDCM!E217</f>
        <v>1.1758993150684933</v>
      </c>
      <c r="D105" s="275">
        <f>0.01*CDCM!F$14*(CDCM!$E4449*CDCM!E217+CDCM!$F4449*CDCM!F217+CDCM!$G4449*CDCM!G217)+10*(CDCM!$B4449*CDCM!B217+CDCM!$C4449*CDCM!C217+CDCM!$D4449*CDCM!D217+CDCM!$H4449*CDCM!H217)</f>
        <v>632.40746910918858</v>
      </c>
      <c r="E105" s="275">
        <f>10*(CDCM!$B4449*CDCM!B217+CDCM!$C4449*CDCM!C217+CDCM!$D4449*CDCM!D217)</f>
        <v>632.40746910918858</v>
      </c>
      <c r="F105" s="275">
        <f>CDCM!E4449*CDCM!$F$14*CDCM!$E217/100</f>
        <v>0</v>
      </c>
      <c r="G105" s="275">
        <f>CDCM!F4449*CDCM!$F$14*CDCM!$F217/100</f>
        <v>0</v>
      </c>
      <c r="H105" s="275">
        <f>CDCM!G4449*CDCM!$F$14*CDCM!$G217/100</f>
        <v>0</v>
      </c>
      <c r="I105" s="275">
        <f>CDCM!H4449*CDCM!$H217*10</f>
        <v>0</v>
      </c>
      <c r="J105" s="273">
        <f>IF(B105&lt;&gt;0,0.1*D105/B105,"")</f>
        <v>1.4865598529729225</v>
      </c>
      <c r="K105" s="278">
        <f>IF(C105&lt;&gt;0,D105/C105,"")</f>
        <v>537.80749848668154</v>
      </c>
      <c r="L105" s="273">
        <f>IF(B105&lt;&gt;0,0.1*E105/B105,0)</f>
        <v>1.4865598529729225</v>
      </c>
      <c r="M105" s="275">
        <f>CDCM!B4449*CDCM!$B217*10</f>
        <v>230.68686695736591</v>
      </c>
      <c r="N105" s="275">
        <f>CDCM!C4449*CDCM!$C217*10</f>
        <v>64.678169255158352</v>
      </c>
      <c r="O105" s="275">
        <f>CDCM!D4449*CDCM!$D217*10</f>
        <v>337.04243289666431</v>
      </c>
      <c r="P105" s="289">
        <f>IF(E105&lt;&gt;0,$M105/E105,"")</f>
        <v>0.36477568375704394</v>
      </c>
      <c r="Q105" s="289">
        <f>IF(E105&lt;&gt;0,$N105/E105,"")</f>
        <v>0.10227293701363814</v>
      </c>
      <c r="R105" s="289">
        <f>IF(E105&lt;&gt;0,$O105/E105,"")</f>
        <v>0.5329513792293179</v>
      </c>
      <c r="S105" s="289">
        <f>IF(D105&lt;&gt;0,$F105/D105,"")</f>
        <v>0</v>
      </c>
      <c r="T105" s="289">
        <f>IF(D105&lt;&gt;0,$G105/D105,"")</f>
        <v>0</v>
      </c>
      <c r="U105" s="289">
        <f>IF(D105&lt;&gt;0,$H105/D105,"")</f>
        <v>0</v>
      </c>
      <c r="V105" s="289">
        <f>IF(D105&lt;&gt;0,$I105/D105,"")</f>
        <v>0</v>
      </c>
      <c r="W105" s="265"/>
    </row>
    <row r="106" spans="1:23">
      <c r="A106" s="288" t="s">
        <v>1179</v>
      </c>
      <c r="W106" s="265"/>
    </row>
    <row r="107" spans="1:23">
      <c r="A107" s="285" t="s">
        <v>1176</v>
      </c>
      <c r="B107" s="275">
        <f>CDCM!B219+CDCM!C219+CDCM!D219</f>
        <v>3214.7578266896548</v>
      </c>
      <c r="C107" s="276">
        <f>CDCM!E219</f>
        <v>286</v>
      </c>
      <c r="D107" s="275">
        <f>0.01*CDCM!F$14*(CDCM!$E4451*CDCM!E219+CDCM!$F4451*CDCM!F219+CDCM!$G4451*CDCM!G219)+10*(CDCM!$B4451*CDCM!B219+CDCM!$C4451*CDCM!C219+CDCM!$D4451*CDCM!D219+CDCM!$H4451*CDCM!H219)</f>
        <v>-25300.144096047585</v>
      </c>
      <c r="E107" s="275">
        <f>10*(CDCM!$B4451*CDCM!B219+CDCM!$C4451*CDCM!C219+CDCM!$D4451*CDCM!D219)</f>
        <v>-25300.144096047585</v>
      </c>
      <c r="F107" s="275">
        <f>CDCM!E4451*CDCM!$F$14*CDCM!$E219/100</f>
        <v>0</v>
      </c>
      <c r="G107" s="275">
        <f>CDCM!F4451*CDCM!$F$14*CDCM!$F219/100</f>
        <v>0</v>
      </c>
      <c r="H107" s="275">
        <f>CDCM!G4451*CDCM!$F$14*CDCM!$G219/100</f>
        <v>0</v>
      </c>
      <c r="I107" s="275">
        <f>CDCM!H4451*CDCM!$H219*10</f>
        <v>0</v>
      </c>
      <c r="J107" s="273">
        <f>IF(B107&lt;&gt;0,0.1*D107/B107,"")</f>
        <v>-0.78700000000000014</v>
      </c>
      <c r="K107" s="278">
        <f>IF(C107&lt;&gt;0,D107/C107,"")</f>
        <v>-88.46204229387267</v>
      </c>
      <c r="L107" s="273">
        <f>IF(B107&lt;&gt;0,0.1*E107/B107,0)</f>
        <v>-0.78700000000000014</v>
      </c>
      <c r="M107" s="275">
        <f>CDCM!B4451*CDCM!$B219*10</f>
        <v>-25300.144096047585</v>
      </c>
      <c r="N107" s="275">
        <f>CDCM!C4451*CDCM!$C219*10</f>
        <v>0</v>
      </c>
      <c r="O107" s="275">
        <f>CDCM!D4451*CDCM!$D219*10</f>
        <v>0</v>
      </c>
      <c r="P107" s="289">
        <f>IF(E107&lt;&gt;0,$M107/E107,"")</f>
        <v>1</v>
      </c>
      <c r="Q107" s="289">
        <f>IF(E107&lt;&gt;0,$N107/E107,"")</f>
        <v>0</v>
      </c>
      <c r="R107" s="289">
        <f>IF(E107&lt;&gt;0,$O107/E107,"")</f>
        <v>0</v>
      </c>
      <c r="S107" s="289">
        <f>IF(D107&lt;&gt;0,$F107/D107,"")</f>
        <v>0</v>
      </c>
      <c r="T107" s="289">
        <f>IF(D107&lt;&gt;0,$G107/D107,"")</f>
        <v>0</v>
      </c>
      <c r="U107" s="289">
        <f>IF(D107&lt;&gt;0,$H107/D107,"")</f>
        <v>0</v>
      </c>
      <c r="V107" s="289">
        <f>IF(D107&lt;&gt;0,$I107/D107,"")</f>
        <v>0</v>
      </c>
      <c r="W107" s="265"/>
    </row>
    <row r="108" spans="1:23">
      <c r="A108" s="285" t="s">
        <v>1173</v>
      </c>
      <c r="B108" s="275">
        <f>CDCM!B220+CDCM!C220+CDCM!D220</f>
        <v>132.89592165517243</v>
      </c>
      <c r="C108" s="276">
        <f>CDCM!E220</f>
        <v>0</v>
      </c>
      <c r="D108" s="275">
        <f>0.01*CDCM!F$14*(CDCM!$E4452*CDCM!E220+CDCM!$F4452*CDCM!F220+CDCM!$G4452*CDCM!G220)+10*(CDCM!$B4452*CDCM!B220+CDCM!$C4452*CDCM!C220+CDCM!$D4452*CDCM!D220+CDCM!$H4452*CDCM!H220)</f>
        <v>-1045.8909034262072</v>
      </c>
      <c r="E108" s="275">
        <f>10*(CDCM!$B4452*CDCM!B220+CDCM!$C4452*CDCM!C220+CDCM!$D4452*CDCM!D220)</f>
        <v>-1045.8909034262072</v>
      </c>
      <c r="F108" s="275">
        <f>CDCM!E4452*CDCM!$F$14*CDCM!$E220/100</f>
        <v>0</v>
      </c>
      <c r="G108" s="275">
        <f>CDCM!F4452*CDCM!$F$14*CDCM!$F220/100</f>
        <v>0</v>
      </c>
      <c r="H108" s="275">
        <f>CDCM!G4452*CDCM!$F$14*CDCM!$G220/100</f>
        <v>0</v>
      </c>
      <c r="I108" s="275">
        <f>CDCM!H4452*CDCM!$H220*10</f>
        <v>0</v>
      </c>
      <c r="J108" s="273">
        <f>IF(B108&lt;&gt;0,0.1*D108/B108,"")</f>
        <v>-0.78700000000000014</v>
      </c>
      <c r="K108" s="278" t="str">
        <f>IF(C108&lt;&gt;0,D108/C108,"")</f>
        <v/>
      </c>
      <c r="L108" s="273">
        <f>IF(B108&lt;&gt;0,0.1*E108/B108,0)</f>
        <v>-0.78700000000000014</v>
      </c>
      <c r="M108" s="275">
        <f>CDCM!B4452*CDCM!$B220*10</f>
        <v>-1045.8909034262072</v>
      </c>
      <c r="N108" s="275">
        <f>CDCM!C4452*CDCM!$C220*10</f>
        <v>0</v>
      </c>
      <c r="O108" s="275">
        <f>CDCM!D4452*CDCM!$D220*10</f>
        <v>0</v>
      </c>
      <c r="P108" s="289">
        <f>IF(E108&lt;&gt;0,$M108/E108,"")</f>
        <v>1</v>
      </c>
      <c r="Q108" s="289">
        <f>IF(E108&lt;&gt;0,$N108/E108,"")</f>
        <v>0</v>
      </c>
      <c r="R108" s="289">
        <f>IF(E108&lt;&gt;0,$O108/E108,"")</f>
        <v>0</v>
      </c>
      <c r="S108" s="289">
        <f>IF(D108&lt;&gt;0,$F108/D108,"")</f>
        <v>0</v>
      </c>
      <c r="T108" s="289">
        <f>IF(D108&lt;&gt;0,$G108/D108,"")</f>
        <v>0</v>
      </c>
      <c r="U108" s="289">
        <f>IF(D108&lt;&gt;0,$H108/D108,"")</f>
        <v>0</v>
      </c>
      <c r="V108" s="289">
        <f>IF(D108&lt;&gt;0,$I108/D108,"")</f>
        <v>0</v>
      </c>
      <c r="W108" s="265"/>
    </row>
    <row r="109" spans="1:23">
      <c r="A109" s="285" t="s">
        <v>1170</v>
      </c>
      <c r="B109" s="275">
        <f>CDCM!B221+CDCM!C221+CDCM!D221</f>
        <v>0</v>
      </c>
      <c r="C109" s="276">
        <f>CDCM!E221</f>
        <v>0</v>
      </c>
      <c r="D109" s="275">
        <f>0.01*CDCM!F$14*(CDCM!$E4453*CDCM!E221+CDCM!$F4453*CDCM!F221+CDCM!$G4453*CDCM!G221)+10*(CDCM!$B4453*CDCM!B221+CDCM!$C4453*CDCM!C221+CDCM!$D4453*CDCM!D221+CDCM!$H4453*CDCM!H221)</f>
        <v>0</v>
      </c>
      <c r="E109" s="275">
        <f>10*(CDCM!$B4453*CDCM!B221+CDCM!$C4453*CDCM!C221+CDCM!$D4453*CDCM!D221)</f>
        <v>0</v>
      </c>
      <c r="F109" s="275">
        <f>CDCM!E4453*CDCM!$F$14*CDCM!$E221/100</f>
        <v>0</v>
      </c>
      <c r="G109" s="275">
        <f>CDCM!F4453*CDCM!$F$14*CDCM!$F221/100</f>
        <v>0</v>
      </c>
      <c r="H109" s="275">
        <f>CDCM!G4453*CDCM!$F$14*CDCM!$G221/100</f>
        <v>0</v>
      </c>
      <c r="I109" s="275">
        <f>CDCM!H4453*CDCM!$H221*10</f>
        <v>0</v>
      </c>
      <c r="J109" s="273" t="str">
        <f>IF(B109&lt;&gt;0,0.1*D109/B109,"")</f>
        <v/>
      </c>
      <c r="K109" s="278" t="str">
        <f>IF(C109&lt;&gt;0,D109/C109,"")</f>
        <v/>
      </c>
      <c r="L109" s="273">
        <f>IF(B109&lt;&gt;0,0.1*E109/B109,0)</f>
        <v>0</v>
      </c>
      <c r="M109" s="275">
        <f>CDCM!B4453*CDCM!$B221*10</f>
        <v>0</v>
      </c>
      <c r="N109" s="275">
        <f>CDCM!C4453*CDCM!$C221*10</f>
        <v>0</v>
      </c>
      <c r="O109" s="275">
        <f>CDCM!D4453*CDCM!$D221*10</f>
        <v>0</v>
      </c>
      <c r="P109" s="289" t="str">
        <f>IF(E109&lt;&gt;0,$M109/E109,"")</f>
        <v/>
      </c>
      <c r="Q109" s="289" t="str">
        <f>IF(E109&lt;&gt;0,$N109/E109,"")</f>
        <v/>
      </c>
      <c r="R109" s="289" t="str">
        <f>IF(E109&lt;&gt;0,$O109/E109,"")</f>
        <v/>
      </c>
      <c r="S109" s="289" t="str">
        <f>IF(D109&lt;&gt;0,$F109/D109,"")</f>
        <v/>
      </c>
      <c r="T109" s="289" t="str">
        <f>IF(D109&lt;&gt;0,$G109/D109,"")</f>
        <v/>
      </c>
      <c r="U109" s="289" t="str">
        <f>IF(D109&lt;&gt;0,$H109/D109,"")</f>
        <v/>
      </c>
      <c r="V109" s="289" t="str">
        <f>IF(D109&lt;&gt;0,$I109/D109,"")</f>
        <v/>
      </c>
      <c r="W109" s="265"/>
    </row>
    <row r="110" spans="1:23">
      <c r="A110" s="288" t="s">
        <v>153</v>
      </c>
      <c r="W110" s="265"/>
    </row>
    <row r="111" spans="1:23">
      <c r="A111" s="285" t="s">
        <v>62</v>
      </c>
      <c r="B111" s="275">
        <f>CDCM!B223+CDCM!C223+CDCM!D223</f>
        <v>92.074856879310332</v>
      </c>
      <c r="C111" s="276">
        <f>CDCM!E223</f>
        <v>1</v>
      </c>
      <c r="D111" s="275">
        <f>0.01*CDCM!F$14*(CDCM!$E4455*CDCM!E223+CDCM!$F4455*CDCM!F223+CDCM!$G4455*CDCM!G223)+10*(CDCM!$B4455*CDCM!B223+CDCM!$C4455*CDCM!C223+CDCM!$D4455*CDCM!D223+CDCM!$H4455*CDCM!H223)</f>
        <v>-655.57298098068952</v>
      </c>
      <c r="E111" s="275">
        <f>10*(CDCM!$B4455*CDCM!B223+CDCM!$C4455*CDCM!C223+CDCM!$D4455*CDCM!D223)</f>
        <v>-655.57298098068952</v>
      </c>
      <c r="F111" s="275">
        <f>CDCM!E4455*CDCM!$F$14*CDCM!$E223/100</f>
        <v>0</v>
      </c>
      <c r="G111" s="275">
        <f>CDCM!F4455*CDCM!$F$14*CDCM!$F223/100</f>
        <v>0</v>
      </c>
      <c r="H111" s="275">
        <f>CDCM!G4455*CDCM!$F$14*CDCM!$G223/100</f>
        <v>0</v>
      </c>
      <c r="I111" s="275">
        <f>CDCM!H4455*CDCM!$H223*10</f>
        <v>0</v>
      </c>
      <c r="J111" s="273">
        <f>IF(B111&lt;&gt;0,0.1*D111/B111,"")</f>
        <v>-0.71199999999999997</v>
      </c>
      <c r="K111" s="278">
        <f>IF(C111&lt;&gt;0,D111/C111,"")</f>
        <v>-655.57298098068952</v>
      </c>
      <c r="L111" s="273">
        <f>IF(B111&lt;&gt;0,0.1*E111/B111,0)</f>
        <v>-0.71199999999999997</v>
      </c>
      <c r="M111" s="275">
        <f>CDCM!B4455*CDCM!$B223*10</f>
        <v>-655.57298098068952</v>
      </c>
      <c r="N111" s="275">
        <f>CDCM!C4455*CDCM!$C223*10</f>
        <v>0</v>
      </c>
      <c r="O111" s="275">
        <f>CDCM!D4455*CDCM!$D223*10</f>
        <v>0</v>
      </c>
      <c r="P111" s="289">
        <f>IF(E111&lt;&gt;0,$M111/E111,"")</f>
        <v>1</v>
      </c>
      <c r="Q111" s="289">
        <f>IF(E111&lt;&gt;0,$N111/E111,"")</f>
        <v>0</v>
      </c>
      <c r="R111" s="289">
        <f>IF(E111&lt;&gt;0,$O111/E111,"")</f>
        <v>0</v>
      </c>
      <c r="S111" s="289">
        <f>IF(D111&lt;&gt;0,$F111/D111,"")</f>
        <v>0</v>
      </c>
      <c r="T111" s="289">
        <f>IF(D111&lt;&gt;0,$G111/D111,"")</f>
        <v>0</v>
      </c>
      <c r="U111" s="289">
        <f>IF(D111&lt;&gt;0,$H111/D111,"")</f>
        <v>0</v>
      </c>
      <c r="V111" s="289">
        <f>IF(D111&lt;&gt;0,$I111/D111,"")</f>
        <v>0</v>
      </c>
      <c r="W111" s="265"/>
    </row>
    <row r="112" spans="1:23">
      <c r="A112" s="285" t="s">
        <v>154</v>
      </c>
      <c r="B112" s="275">
        <f>CDCM!B224+CDCM!C224+CDCM!D224</f>
        <v>0</v>
      </c>
      <c r="C112" s="276">
        <f>CDCM!E224</f>
        <v>0</v>
      </c>
      <c r="D112" s="275">
        <f>0.01*CDCM!F$14*(CDCM!$E4456*CDCM!E224+CDCM!$F4456*CDCM!F224+CDCM!$G4456*CDCM!G224)+10*(CDCM!$B4456*CDCM!B224+CDCM!$C4456*CDCM!C224+CDCM!$D4456*CDCM!D224+CDCM!$H4456*CDCM!H224)</f>
        <v>0</v>
      </c>
      <c r="E112" s="275">
        <f>10*(CDCM!$B4456*CDCM!B224+CDCM!$C4456*CDCM!C224+CDCM!$D4456*CDCM!D224)</f>
        <v>0</v>
      </c>
      <c r="F112" s="275">
        <f>CDCM!E4456*CDCM!$F$14*CDCM!$E224/100</f>
        <v>0</v>
      </c>
      <c r="G112" s="275">
        <f>CDCM!F4456*CDCM!$F$14*CDCM!$F224/100</f>
        <v>0</v>
      </c>
      <c r="H112" s="275">
        <f>CDCM!G4456*CDCM!$F$14*CDCM!$G224/100</f>
        <v>0</v>
      </c>
      <c r="I112" s="275">
        <f>CDCM!H4456*CDCM!$H224*10</f>
        <v>0</v>
      </c>
      <c r="J112" s="273" t="str">
        <f>IF(B112&lt;&gt;0,0.1*D112/B112,"")</f>
        <v/>
      </c>
      <c r="K112" s="278" t="str">
        <f>IF(C112&lt;&gt;0,D112/C112,"")</f>
        <v/>
      </c>
      <c r="L112" s="273">
        <f>IF(B112&lt;&gt;0,0.1*E112/B112,0)</f>
        <v>0</v>
      </c>
      <c r="M112" s="275">
        <f>CDCM!B4456*CDCM!$B224*10</f>
        <v>0</v>
      </c>
      <c r="N112" s="275">
        <f>CDCM!C4456*CDCM!$C224*10</f>
        <v>0</v>
      </c>
      <c r="O112" s="275">
        <f>CDCM!D4456*CDCM!$D224*10</f>
        <v>0</v>
      </c>
      <c r="P112" s="289" t="str">
        <f>IF(E112&lt;&gt;0,$M112/E112,"")</f>
        <v/>
      </c>
      <c r="Q112" s="289" t="str">
        <f>IF(E112&lt;&gt;0,$N112/E112,"")</f>
        <v/>
      </c>
      <c r="R112" s="289" t="str">
        <f>IF(E112&lt;&gt;0,$O112/E112,"")</f>
        <v/>
      </c>
      <c r="S112" s="289" t="str">
        <f>IF(D112&lt;&gt;0,$F112/D112,"")</f>
        <v/>
      </c>
      <c r="T112" s="289" t="str">
        <f>IF(D112&lt;&gt;0,$G112/D112,"")</f>
        <v/>
      </c>
      <c r="U112" s="289" t="str">
        <f>IF(D112&lt;&gt;0,$H112/D112,"")</f>
        <v/>
      </c>
      <c r="V112" s="289" t="str">
        <f>IF(D112&lt;&gt;0,$I112/D112,"")</f>
        <v/>
      </c>
      <c r="W112" s="265"/>
    </row>
    <row r="113" spans="1:23">
      <c r="A113" s="288" t="s">
        <v>155</v>
      </c>
      <c r="W113" s="265"/>
    </row>
    <row r="114" spans="1:23">
      <c r="A114" s="285" t="s">
        <v>63</v>
      </c>
      <c r="B114" s="275">
        <f>CDCM!B226+CDCM!C226+CDCM!D226</f>
        <v>78529.095040948305</v>
      </c>
      <c r="C114" s="276">
        <f>CDCM!E226</f>
        <v>887.02632534246584</v>
      </c>
      <c r="D114" s="275">
        <f>0.01*CDCM!F$14*(CDCM!$E4458*CDCM!E226+CDCM!$F4458*CDCM!F226+CDCM!$G4458*CDCM!G226)+10*(CDCM!$B4458*CDCM!B226+CDCM!$C4458*CDCM!C226+CDCM!$D4458*CDCM!D226+CDCM!$H4458*CDCM!H226)</f>
        <v>-607446.81729563989</v>
      </c>
      <c r="E114" s="275">
        <f>10*(CDCM!$B4458*CDCM!B226+CDCM!$C4458*CDCM!C226+CDCM!$D4458*CDCM!D226)</f>
        <v>-618023.97797226312</v>
      </c>
      <c r="F114" s="275">
        <f>CDCM!E4458*CDCM!$F$14*CDCM!$E226/100</f>
        <v>0</v>
      </c>
      <c r="G114" s="275">
        <f>CDCM!F4458*CDCM!$F$14*CDCM!$F226/100</f>
        <v>0</v>
      </c>
      <c r="H114" s="275">
        <f>CDCM!G4458*CDCM!$F$14*CDCM!$G226/100</f>
        <v>0</v>
      </c>
      <c r="I114" s="275">
        <f>CDCM!H4458*CDCM!$H226*10</f>
        <v>10577.160676623278</v>
      </c>
      <c r="J114" s="273">
        <f>IF(B114&lt;&gt;0,0.1*D114/B114,"")</f>
        <v>-0.77353090211837039</v>
      </c>
      <c r="K114" s="278">
        <f>IF(C114&lt;&gt;0,D114/C114,"")</f>
        <v>-684.81261484670699</v>
      </c>
      <c r="L114" s="273">
        <f>IF(B114&lt;&gt;0,0.1*E114/B114,0)</f>
        <v>-0.78700000000000003</v>
      </c>
      <c r="M114" s="275">
        <f>CDCM!B4458*CDCM!$B226*10</f>
        <v>-618023.97797226312</v>
      </c>
      <c r="N114" s="275">
        <f>CDCM!C4458*CDCM!$C226*10</f>
        <v>0</v>
      </c>
      <c r="O114" s="275">
        <f>CDCM!D4458*CDCM!$D226*10</f>
        <v>0</v>
      </c>
      <c r="P114" s="289">
        <f>IF(E114&lt;&gt;0,$M114/E114,"")</f>
        <v>1</v>
      </c>
      <c r="Q114" s="289">
        <f>IF(E114&lt;&gt;0,$N114/E114,"")</f>
        <v>0</v>
      </c>
      <c r="R114" s="289">
        <f>IF(E114&lt;&gt;0,$O114/E114,"")</f>
        <v>0</v>
      </c>
      <c r="S114" s="289">
        <f>IF(D114&lt;&gt;0,$F114/D114,"")</f>
        <v>0</v>
      </c>
      <c r="T114" s="289">
        <f>IF(D114&lt;&gt;0,$G114/D114,"")</f>
        <v>0</v>
      </c>
      <c r="U114" s="289">
        <f>IF(D114&lt;&gt;0,$H114/D114,"")</f>
        <v>0</v>
      </c>
      <c r="V114" s="289">
        <f>IF(D114&lt;&gt;0,$I114/D114,"")</f>
        <v>-1.7412488427732516E-2</v>
      </c>
      <c r="W114" s="265"/>
    </row>
    <row r="115" spans="1:23">
      <c r="A115" s="285" t="s">
        <v>156</v>
      </c>
      <c r="B115" s="275">
        <f>CDCM!B227+CDCM!C227+CDCM!D227</f>
        <v>0</v>
      </c>
      <c r="C115" s="276">
        <f>CDCM!E227</f>
        <v>0</v>
      </c>
      <c r="D115" s="275">
        <f>0.01*CDCM!F$14*(CDCM!$E4459*CDCM!E227+CDCM!$F4459*CDCM!F227+CDCM!$G4459*CDCM!G227)+10*(CDCM!$B4459*CDCM!B227+CDCM!$C4459*CDCM!C227+CDCM!$D4459*CDCM!D227+CDCM!$H4459*CDCM!H227)</f>
        <v>0</v>
      </c>
      <c r="E115" s="275">
        <f>10*(CDCM!$B4459*CDCM!B227+CDCM!$C4459*CDCM!C227+CDCM!$D4459*CDCM!D227)</f>
        <v>0</v>
      </c>
      <c r="F115" s="275">
        <f>CDCM!E4459*CDCM!$F$14*CDCM!$E227/100</f>
        <v>0</v>
      </c>
      <c r="G115" s="275">
        <f>CDCM!F4459*CDCM!$F$14*CDCM!$F227/100</f>
        <v>0</v>
      </c>
      <c r="H115" s="275">
        <f>CDCM!G4459*CDCM!$F$14*CDCM!$G227/100</f>
        <v>0</v>
      </c>
      <c r="I115" s="275">
        <f>CDCM!H4459*CDCM!$H227*10</f>
        <v>0</v>
      </c>
      <c r="J115" s="273" t="str">
        <f>IF(B115&lt;&gt;0,0.1*D115/B115,"")</f>
        <v/>
      </c>
      <c r="K115" s="278" t="str">
        <f>IF(C115&lt;&gt;0,D115/C115,"")</f>
        <v/>
      </c>
      <c r="L115" s="273">
        <f>IF(B115&lt;&gt;0,0.1*E115/B115,0)</f>
        <v>0</v>
      </c>
      <c r="M115" s="275">
        <f>CDCM!B4459*CDCM!$B227*10</f>
        <v>0</v>
      </c>
      <c r="N115" s="275">
        <f>CDCM!C4459*CDCM!$C227*10</f>
        <v>0</v>
      </c>
      <c r="O115" s="275">
        <f>CDCM!D4459*CDCM!$D227*10</f>
        <v>0</v>
      </c>
      <c r="P115" s="289" t="str">
        <f>IF(E115&lt;&gt;0,$M115/E115,"")</f>
        <v/>
      </c>
      <c r="Q115" s="289" t="str">
        <f>IF(E115&lt;&gt;0,$N115/E115,"")</f>
        <v/>
      </c>
      <c r="R115" s="289" t="str">
        <f>IF(E115&lt;&gt;0,$O115/E115,"")</f>
        <v/>
      </c>
      <c r="S115" s="289" t="str">
        <f>IF(D115&lt;&gt;0,$F115/D115,"")</f>
        <v/>
      </c>
      <c r="T115" s="289" t="str">
        <f>IF(D115&lt;&gt;0,$G115/D115,"")</f>
        <v/>
      </c>
      <c r="U115" s="289" t="str">
        <f>IF(D115&lt;&gt;0,$H115/D115,"")</f>
        <v/>
      </c>
      <c r="V115" s="289" t="str">
        <f>IF(D115&lt;&gt;0,$I115/D115,"")</f>
        <v/>
      </c>
      <c r="W115" s="265"/>
    </row>
    <row r="116" spans="1:23">
      <c r="A116" s="285" t="s">
        <v>157</v>
      </c>
      <c r="B116" s="275">
        <f>CDCM!B228+CDCM!C228+CDCM!D228</f>
        <v>1158.4981509517236</v>
      </c>
      <c r="C116" s="276">
        <f>CDCM!E228</f>
        <v>3.2634739726027386</v>
      </c>
      <c r="D116" s="275">
        <f>0.01*CDCM!F$14*(CDCM!$E4460*CDCM!E228+CDCM!$F4460*CDCM!F228+CDCM!$G4460*CDCM!G228)+10*(CDCM!$B4460*CDCM!B228+CDCM!$C4460*CDCM!C228+CDCM!$D4460*CDCM!D228+CDCM!$H4460*CDCM!H228)</f>
        <v>-9092.5277259773757</v>
      </c>
      <c r="E116" s="275">
        <f>10*(CDCM!$B4460*CDCM!B228+CDCM!$C4460*CDCM!C228+CDCM!$D4460*CDCM!D228)</f>
        <v>-9117.3804479900646</v>
      </c>
      <c r="F116" s="275">
        <f>CDCM!E4460*CDCM!$F$14*CDCM!$E228/100</f>
        <v>0</v>
      </c>
      <c r="G116" s="275">
        <f>CDCM!F4460*CDCM!$F$14*CDCM!$F228/100</f>
        <v>0</v>
      </c>
      <c r="H116" s="275">
        <f>CDCM!G4460*CDCM!$F$14*CDCM!$G228/100</f>
        <v>0</v>
      </c>
      <c r="I116" s="275">
        <f>CDCM!H4460*CDCM!$H228*10</f>
        <v>24.852722012689661</v>
      </c>
      <c r="J116" s="273">
        <f>IF(B116&lt;&gt;0,0.1*D116/B116,"")</f>
        <v>-0.78485474651018894</v>
      </c>
      <c r="K116" s="278">
        <f>IF(C116&lt;&gt;0,D116/C116,"")</f>
        <v>-2786.1499133470202</v>
      </c>
      <c r="L116" s="273">
        <f>IF(B116&lt;&gt;0,0.1*E116/B116,0)</f>
        <v>-0.78700000000000003</v>
      </c>
      <c r="M116" s="275">
        <f>CDCM!B4460*CDCM!$B228*10</f>
        <v>-9117.3804479900646</v>
      </c>
      <c r="N116" s="275">
        <f>CDCM!C4460*CDCM!$C228*10</f>
        <v>0</v>
      </c>
      <c r="O116" s="275">
        <f>CDCM!D4460*CDCM!$D228*10</f>
        <v>0</v>
      </c>
      <c r="P116" s="289">
        <f>IF(E116&lt;&gt;0,$M116/E116,"")</f>
        <v>1</v>
      </c>
      <c r="Q116" s="289">
        <f>IF(E116&lt;&gt;0,$N116/E116,"")</f>
        <v>0</v>
      </c>
      <c r="R116" s="289">
        <f>IF(E116&lt;&gt;0,$O116/E116,"")</f>
        <v>0</v>
      </c>
      <c r="S116" s="289">
        <f>IF(D116&lt;&gt;0,$F116/D116,"")</f>
        <v>0</v>
      </c>
      <c r="T116" s="289">
        <f>IF(D116&lt;&gt;0,$G116/D116,"")</f>
        <v>0</v>
      </c>
      <c r="U116" s="289">
        <f>IF(D116&lt;&gt;0,$H116/D116,"")</f>
        <v>0</v>
      </c>
      <c r="V116" s="289">
        <f>IF(D116&lt;&gt;0,$I116/D116,"")</f>
        <v>-2.7333127554492209E-3</v>
      </c>
      <c r="W116" s="265"/>
    </row>
    <row r="117" spans="1:23">
      <c r="A117" s="288" t="s">
        <v>1559</v>
      </c>
      <c r="W117" s="265"/>
    </row>
    <row r="118" spans="1:23">
      <c r="A118" s="285" t="s">
        <v>1516</v>
      </c>
      <c r="B118" s="275">
        <f>CDCM!B230+CDCM!C230+CDCM!D230</f>
        <v>0</v>
      </c>
      <c r="C118" s="276">
        <f>CDCM!E230</f>
        <v>0</v>
      </c>
      <c r="D118" s="275">
        <f>0.01*CDCM!F$14*(CDCM!$E4462*CDCM!E230+CDCM!$F4462*CDCM!F230+CDCM!$G4462*CDCM!G230)+10*(CDCM!$B4462*CDCM!B230+CDCM!$C4462*CDCM!C230+CDCM!$D4462*CDCM!D230+CDCM!$H4462*CDCM!H230)</f>
        <v>0</v>
      </c>
      <c r="E118" s="275">
        <f>10*(CDCM!$B4462*CDCM!B230+CDCM!$C4462*CDCM!C230+CDCM!$D4462*CDCM!D230)</f>
        <v>0</v>
      </c>
      <c r="F118" s="275">
        <f>CDCM!E4462*CDCM!$F$14*CDCM!$E230/100</f>
        <v>0</v>
      </c>
      <c r="G118" s="275">
        <f>CDCM!F4462*CDCM!$F$14*CDCM!$F230/100</f>
        <v>0</v>
      </c>
      <c r="H118" s="275">
        <f>CDCM!G4462*CDCM!$F$14*CDCM!$G230/100</f>
        <v>0</v>
      </c>
      <c r="I118" s="275">
        <f>CDCM!H4462*CDCM!$H230*10</f>
        <v>0</v>
      </c>
      <c r="J118" s="273" t="str">
        <f>IF(B118&lt;&gt;0,0.1*D118/B118,"")</f>
        <v/>
      </c>
      <c r="K118" s="278" t="str">
        <f>IF(C118&lt;&gt;0,D118/C118,"")</f>
        <v/>
      </c>
      <c r="L118" s="273">
        <f>IF(B118&lt;&gt;0,0.1*E118/B118,0)</f>
        <v>0</v>
      </c>
      <c r="M118" s="275">
        <f>CDCM!B4462*CDCM!$B230*10</f>
        <v>0</v>
      </c>
      <c r="N118" s="275">
        <f>CDCM!C4462*CDCM!$C230*10</f>
        <v>0</v>
      </c>
      <c r="O118" s="275">
        <f>CDCM!D4462*CDCM!$D230*10</f>
        <v>0</v>
      </c>
      <c r="P118" s="289" t="str">
        <f>IF(E118&lt;&gt;0,$M118/E118,"")</f>
        <v/>
      </c>
      <c r="Q118" s="289" t="str">
        <f>IF(E118&lt;&gt;0,$N118/E118,"")</f>
        <v/>
      </c>
      <c r="R118" s="289" t="str">
        <f>IF(E118&lt;&gt;0,$O118/E118,"")</f>
        <v/>
      </c>
      <c r="S118" s="289" t="str">
        <f>IF(D118&lt;&gt;0,$F118/D118,"")</f>
        <v/>
      </c>
      <c r="T118" s="289" t="str">
        <f>IF(D118&lt;&gt;0,$G118/D118,"")</f>
        <v/>
      </c>
      <c r="U118" s="289" t="str">
        <f>IF(D118&lt;&gt;0,$H118/D118,"")</f>
        <v/>
      </c>
      <c r="V118" s="289" t="str">
        <f>IF(D118&lt;&gt;0,$I118/D118,"")</f>
        <v/>
      </c>
      <c r="W118" s="265"/>
    </row>
    <row r="119" spans="1:23">
      <c r="A119" s="288" t="s">
        <v>158</v>
      </c>
      <c r="W119" s="265"/>
    </row>
    <row r="120" spans="1:23">
      <c r="A120" s="285" t="s">
        <v>64</v>
      </c>
      <c r="B120" s="275">
        <f>CDCM!B232+CDCM!C232+CDCM!D232</f>
        <v>2299.2193917891755</v>
      </c>
      <c r="C120" s="276">
        <f>CDCM!E232</f>
        <v>16.428914383561644</v>
      </c>
      <c r="D120" s="275">
        <f>0.01*CDCM!F$14*(CDCM!$E4464*CDCM!E232+CDCM!$F4464*CDCM!F232+CDCM!$G4464*CDCM!G232)+10*(CDCM!$B4464*CDCM!B232+CDCM!$C4464*CDCM!C232+CDCM!$D4464*CDCM!D232+CDCM!$H4464*CDCM!H232)</f>
        <v>-18367.65084691497</v>
      </c>
      <c r="E120" s="275">
        <f>10*(CDCM!$B4464*CDCM!B232+CDCM!$C4464*CDCM!C232+CDCM!$D4464*CDCM!D232)</f>
        <v>-19441.309105171866</v>
      </c>
      <c r="F120" s="275">
        <f>CDCM!E4464*CDCM!$F$14*CDCM!$E232/100</f>
        <v>0</v>
      </c>
      <c r="G120" s="275">
        <f>CDCM!F4464*CDCM!$F$14*CDCM!$F232/100</f>
        <v>0</v>
      </c>
      <c r="H120" s="275">
        <f>CDCM!G4464*CDCM!$F$14*CDCM!$G232/100</f>
        <v>0</v>
      </c>
      <c r="I120" s="275">
        <f>CDCM!H4464*CDCM!$H232*10</f>
        <v>1073.6582582568967</v>
      </c>
      <c r="J120" s="273">
        <f>IF(B120&lt;&gt;0,0.1*D120/B120,"")</f>
        <v>-0.79886464564922977</v>
      </c>
      <c r="K120" s="278">
        <f>IF(C120&lt;&gt;0,D120/C120,"")</f>
        <v>-1118.0075821256441</v>
      </c>
      <c r="L120" s="273">
        <f>IF(B120&lt;&gt;0,0.1*E120/B120,0)</f>
        <v>-0.84556128808757536</v>
      </c>
      <c r="M120" s="275">
        <f>CDCM!B4464*CDCM!$B232*10</f>
        <v>-14472.613906735516</v>
      </c>
      <c r="N120" s="275">
        <f>CDCM!C4464*CDCM!$C232*10</f>
        <v>-3704.0782288197297</v>
      </c>
      <c r="O120" s="275">
        <f>CDCM!D4464*CDCM!$D232*10</f>
        <v>-1264.6169696166198</v>
      </c>
      <c r="P120" s="289">
        <f>IF(E120&lt;&gt;0,$M120/E120,"")</f>
        <v>0.74442589377304047</v>
      </c>
      <c r="Q120" s="289">
        <f>IF(E120&lt;&gt;0,$N120/E120,"")</f>
        <v>0.19052617335498021</v>
      </c>
      <c r="R120" s="289">
        <f>IF(E120&lt;&gt;0,$O120/E120,"")</f>
        <v>6.5047932871979325E-2</v>
      </c>
      <c r="S120" s="289">
        <f>IF(D120&lt;&gt;0,$F120/D120,"")</f>
        <v>0</v>
      </c>
      <c r="T120" s="289">
        <f>IF(D120&lt;&gt;0,$G120/D120,"")</f>
        <v>0</v>
      </c>
      <c r="U120" s="289">
        <f>IF(D120&lt;&gt;0,$H120/D120,"")</f>
        <v>0</v>
      </c>
      <c r="V120" s="289">
        <f>IF(D120&lt;&gt;0,$I120/D120,"")</f>
        <v>-5.8453760211651037E-2</v>
      </c>
      <c r="W120" s="265"/>
    </row>
    <row r="121" spans="1:23">
      <c r="A121" s="285" t="s">
        <v>159</v>
      </c>
      <c r="B121" s="275">
        <f>CDCM!B233+CDCM!C233+CDCM!D233</f>
        <v>0</v>
      </c>
      <c r="C121" s="276">
        <f>CDCM!E233</f>
        <v>0</v>
      </c>
      <c r="D121" s="275">
        <f>0.01*CDCM!F$14*(CDCM!$E4465*CDCM!E233+CDCM!$F4465*CDCM!F233+CDCM!$G4465*CDCM!G233)+10*(CDCM!$B4465*CDCM!B233+CDCM!$C4465*CDCM!C233+CDCM!$D4465*CDCM!D233+CDCM!$H4465*CDCM!H233)</f>
        <v>0</v>
      </c>
      <c r="E121" s="275">
        <f>10*(CDCM!$B4465*CDCM!B233+CDCM!$C4465*CDCM!C233+CDCM!$D4465*CDCM!D233)</f>
        <v>0</v>
      </c>
      <c r="F121" s="275">
        <f>CDCM!E4465*CDCM!$F$14*CDCM!$E233/100</f>
        <v>0</v>
      </c>
      <c r="G121" s="275">
        <f>CDCM!F4465*CDCM!$F$14*CDCM!$F233/100</f>
        <v>0</v>
      </c>
      <c r="H121" s="275">
        <f>CDCM!G4465*CDCM!$F$14*CDCM!$G233/100</f>
        <v>0</v>
      </c>
      <c r="I121" s="275">
        <f>CDCM!H4465*CDCM!$H233*10</f>
        <v>0</v>
      </c>
      <c r="J121" s="273" t="str">
        <f>IF(B121&lt;&gt;0,0.1*D121/B121,"")</f>
        <v/>
      </c>
      <c r="K121" s="278" t="str">
        <f>IF(C121&lt;&gt;0,D121/C121,"")</f>
        <v/>
      </c>
      <c r="L121" s="273">
        <f>IF(B121&lt;&gt;0,0.1*E121/B121,0)</f>
        <v>0</v>
      </c>
      <c r="M121" s="275">
        <f>CDCM!B4465*CDCM!$B233*10</f>
        <v>0</v>
      </c>
      <c r="N121" s="275">
        <f>CDCM!C4465*CDCM!$C233*10</f>
        <v>0</v>
      </c>
      <c r="O121" s="275">
        <f>CDCM!D4465*CDCM!$D233*10</f>
        <v>0</v>
      </c>
      <c r="P121" s="289" t="str">
        <f>IF(E121&lt;&gt;0,$M121/E121,"")</f>
        <v/>
      </c>
      <c r="Q121" s="289" t="str">
        <f>IF(E121&lt;&gt;0,$N121/E121,"")</f>
        <v/>
      </c>
      <c r="R121" s="289" t="str">
        <f>IF(E121&lt;&gt;0,$O121/E121,"")</f>
        <v/>
      </c>
      <c r="S121" s="289" t="str">
        <f>IF(D121&lt;&gt;0,$F121/D121,"")</f>
        <v/>
      </c>
      <c r="T121" s="289" t="str">
        <f>IF(D121&lt;&gt;0,$G121/D121,"")</f>
        <v/>
      </c>
      <c r="U121" s="289" t="str">
        <f>IF(D121&lt;&gt;0,$H121/D121,"")</f>
        <v/>
      </c>
      <c r="V121" s="289" t="str">
        <f>IF(D121&lt;&gt;0,$I121/D121,"")</f>
        <v/>
      </c>
      <c r="W121" s="265"/>
    </row>
    <row r="122" spans="1:23">
      <c r="A122" s="285" t="s">
        <v>160</v>
      </c>
      <c r="B122" s="275">
        <f>CDCM!B234+CDCM!C234+CDCM!D234</f>
        <v>0</v>
      </c>
      <c r="C122" s="276">
        <f>CDCM!E234</f>
        <v>0</v>
      </c>
      <c r="D122" s="275">
        <f>0.01*CDCM!F$14*(CDCM!$E4466*CDCM!E234+CDCM!$F4466*CDCM!F234+CDCM!$G4466*CDCM!G234)+10*(CDCM!$B4466*CDCM!B234+CDCM!$C4466*CDCM!C234+CDCM!$D4466*CDCM!D234+CDCM!$H4466*CDCM!H234)</f>
        <v>0</v>
      </c>
      <c r="E122" s="275">
        <f>10*(CDCM!$B4466*CDCM!B234+CDCM!$C4466*CDCM!C234+CDCM!$D4466*CDCM!D234)</f>
        <v>0</v>
      </c>
      <c r="F122" s="275">
        <f>CDCM!E4466*CDCM!$F$14*CDCM!$E234/100</f>
        <v>0</v>
      </c>
      <c r="G122" s="275">
        <f>CDCM!F4466*CDCM!$F$14*CDCM!$F234/100</f>
        <v>0</v>
      </c>
      <c r="H122" s="275">
        <f>CDCM!G4466*CDCM!$F$14*CDCM!$G234/100</f>
        <v>0</v>
      </c>
      <c r="I122" s="275">
        <f>CDCM!H4466*CDCM!$H234*10</f>
        <v>0</v>
      </c>
      <c r="J122" s="273" t="str">
        <f>IF(B122&lt;&gt;0,0.1*D122/B122,"")</f>
        <v/>
      </c>
      <c r="K122" s="278" t="str">
        <f>IF(C122&lt;&gt;0,D122/C122,"")</f>
        <v/>
      </c>
      <c r="L122" s="273">
        <f>IF(B122&lt;&gt;0,0.1*E122/B122,0)</f>
        <v>0</v>
      </c>
      <c r="M122" s="275">
        <f>CDCM!B4466*CDCM!$B234*10</f>
        <v>0</v>
      </c>
      <c r="N122" s="275">
        <f>CDCM!C4466*CDCM!$C234*10</f>
        <v>0</v>
      </c>
      <c r="O122" s="275">
        <f>CDCM!D4466*CDCM!$D234*10</f>
        <v>0</v>
      </c>
      <c r="P122" s="289" t="str">
        <f>IF(E122&lt;&gt;0,$M122/E122,"")</f>
        <v/>
      </c>
      <c r="Q122" s="289" t="str">
        <f>IF(E122&lt;&gt;0,$N122/E122,"")</f>
        <v/>
      </c>
      <c r="R122" s="289" t="str">
        <f>IF(E122&lt;&gt;0,$O122/E122,"")</f>
        <v/>
      </c>
      <c r="S122" s="289" t="str">
        <f>IF(D122&lt;&gt;0,$F122/D122,"")</f>
        <v/>
      </c>
      <c r="T122" s="289" t="str">
        <f>IF(D122&lt;&gt;0,$G122/D122,"")</f>
        <v/>
      </c>
      <c r="U122" s="289" t="str">
        <f>IF(D122&lt;&gt;0,$H122/D122,"")</f>
        <v/>
      </c>
      <c r="V122" s="289" t="str">
        <f>IF(D122&lt;&gt;0,$I122/D122,"")</f>
        <v/>
      </c>
      <c r="W122" s="265"/>
    </row>
    <row r="123" spans="1:23">
      <c r="A123" s="288" t="s">
        <v>1560</v>
      </c>
      <c r="W123" s="265"/>
    </row>
    <row r="124" spans="1:23">
      <c r="A124" s="285" t="s">
        <v>1517</v>
      </c>
      <c r="B124" s="275">
        <f>CDCM!B236+CDCM!C236+CDCM!D236</f>
        <v>0</v>
      </c>
      <c r="C124" s="276">
        <f>CDCM!E236</f>
        <v>0</v>
      </c>
      <c r="D124" s="275">
        <f>0.01*CDCM!F$14*(CDCM!$E4468*CDCM!E236+CDCM!$F4468*CDCM!F236+CDCM!$G4468*CDCM!G236)+10*(CDCM!$B4468*CDCM!B236+CDCM!$C4468*CDCM!C236+CDCM!$D4468*CDCM!D236+CDCM!$H4468*CDCM!H236)</f>
        <v>0</v>
      </c>
      <c r="E124" s="275">
        <f>10*(CDCM!$B4468*CDCM!B236+CDCM!$C4468*CDCM!C236+CDCM!$D4468*CDCM!D236)</f>
        <v>0</v>
      </c>
      <c r="F124" s="275">
        <f>CDCM!E4468*CDCM!$F$14*CDCM!$E236/100</f>
        <v>0</v>
      </c>
      <c r="G124" s="275">
        <f>CDCM!F4468*CDCM!$F$14*CDCM!$F236/100</f>
        <v>0</v>
      </c>
      <c r="H124" s="275">
        <f>CDCM!G4468*CDCM!$F$14*CDCM!$G236/100</f>
        <v>0</v>
      </c>
      <c r="I124" s="275">
        <f>CDCM!H4468*CDCM!$H236*10</f>
        <v>0</v>
      </c>
      <c r="J124" s="273" t="str">
        <f>IF(B124&lt;&gt;0,0.1*D124/B124,"")</f>
        <v/>
      </c>
      <c r="K124" s="278" t="str">
        <f>IF(C124&lt;&gt;0,D124/C124,"")</f>
        <v/>
      </c>
      <c r="L124" s="273">
        <f>IF(B124&lt;&gt;0,0.1*E124/B124,0)</f>
        <v>0</v>
      </c>
      <c r="M124" s="275">
        <f>CDCM!B4468*CDCM!$B236*10</f>
        <v>0</v>
      </c>
      <c r="N124" s="275">
        <f>CDCM!C4468*CDCM!$C236*10</f>
        <v>0</v>
      </c>
      <c r="O124" s="275">
        <f>CDCM!D4468*CDCM!$D236*10</f>
        <v>0</v>
      </c>
      <c r="P124" s="289" t="str">
        <f>IF(E124&lt;&gt;0,$M124/E124,"")</f>
        <v/>
      </c>
      <c r="Q124" s="289" t="str">
        <f>IF(E124&lt;&gt;0,$N124/E124,"")</f>
        <v/>
      </c>
      <c r="R124" s="289" t="str">
        <f>IF(E124&lt;&gt;0,$O124/E124,"")</f>
        <v/>
      </c>
      <c r="S124" s="289" t="str">
        <f>IF(D124&lt;&gt;0,$F124/D124,"")</f>
        <v/>
      </c>
      <c r="T124" s="289" t="str">
        <f>IF(D124&lt;&gt;0,$G124/D124,"")</f>
        <v/>
      </c>
      <c r="U124" s="289" t="str">
        <f>IF(D124&lt;&gt;0,$H124/D124,"")</f>
        <v/>
      </c>
      <c r="V124" s="289" t="str">
        <f>IF(D124&lt;&gt;0,$I124/D124,"")</f>
        <v/>
      </c>
      <c r="W124" s="265"/>
    </row>
    <row r="125" spans="1:23">
      <c r="A125" s="288" t="s">
        <v>161</v>
      </c>
      <c r="W125" s="265"/>
    </row>
    <row r="126" spans="1:23">
      <c r="A126" s="285" t="s">
        <v>65</v>
      </c>
      <c r="B126" s="275">
        <f>CDCM!B238+CDCM!C238+CDCM!D238</f>
        <v>13040.742602439654</v>
      </c>
      <c r="C126" s="276">
        <f>CDCM!E238</f>
        <v>121.63811301369863</v>
      </c>
      <c r="D126" s="275">
        <f>0.01*CDCM!F$14*(CDCM!$E4470*CDCM!E238+CDCM!$F4470*CDCM!F238+CDCM!$G4470*CDCM!G238)+10*(CDCM!$B4470*CDCM!B238+CDCM!$C4470*CDCM!C238+CDCM!$D4470*CDCM!D238+CDCM!$H4470*CDCM!H238)</f>
        <v>-90531.763778843248</v>
      </c>
      <c r="E126" s="275">
        <f>10*(CDCM!$B4470*CDCM!B238+CDCM!$C4470*CDCM!C238+CDCM!$D4470*CDCM!D238)</f>
        <v>-92850.087329370319</v>
      </c>
      <c r="F126" s="275">
        <f>CDCM!E4470*CDCM!$F$14*CDCM!$E238/100</f>
        <v>0</v>
      </c>
      <c r="G126" s="275">
        <f>CDCM!F4470*CDCM!$F$14*CDCM!$F238/100</f>
        <v>0</v>
      </c>
      <c r="H126" s="275">
        <f>CDCM!G4470*CDCM!$F$14*CDCM!$G238/100</f>
        <v>0</v>
      </c>
      <c r="I126" s="275">
        <f>CDCM!H4470*CDCM!$H238*10</f>
        <v>2318.3235505270686</v>
      </c>
      <c r="J126" s="273">
        <f>IF(B126&lt;&gt;0,0.1*D126/B126,"")</f>
        <v>-0.69422245756086487</v>
      </c>
      <c r="K126" s="278">
        <f>IF(C126&lt;&gt;0,D126/C126,"")</f>
        <v>-744.27135982163543</v>
      </c>
      <c r="L126" s="273">
        <f>IF(B126&lt;&gt;0,0.1*E126/B126,0)</f>
        <v>-0.71199999999999997</v>
      </c>
      <c r="M126" s="275">
        <f>CDCM!B4470*CDCM!$B238*10</f>
        <v>-92850.087329370319</v>
      </c>
      <c r="N126" s="275">
        <f>CDCM!C4470*CDCM!$C238*10</f>
        <v>0</v>
      </c>
      <c r="O126" s="275">
        <f>CDCM!D4470*CDCM!$D238*10</f>
        <v>0</v>
      </c>
      <c r="P126" s="289">
        <f>IF(E126&lt;&gt;0,$M126/E126,"")</f>
        <v>1</v>
      </c>
      <c r="Q126" s="289">
        <f>IF(E126&lt;&gt;0,$N126/E126,"")</f>
        <v>0</v>
      </c>
      <c r="R126" s="289">
        <f>IF(E126&lt;&gt;0,$O126/E126,"")</f>
        <v>0</v>
      </c>
      <c r="S126" s="289">
        <f>IF(D126&lt;&gt;0,$F126/D126,"")</f>
        <v>0</v>
      </c>
      <c r="T126" s="289">
        <f>IF(D126&lt;&gt;0,$G126/D126,"")</f>
        <v>0</v>
      </c>
      <c r="U126" s="289">
        <f>IF(D126&lt;&gt;0,$H126/D126,"")</f>
        <v>0</v>
      </c>
      <c r="V126" s="289">
        <f>IF(D126&lt;&gt;0,$I126/D126,"")</f>
        <v>-2.560784694519392E-2</v>
      </c>
      <c r="W126" s="265"/>
    </row>
    <row r="127" spans="1:23">
      <c r="A127" s="285" t="s">
        <v>162</v>
      </c>
      <c r="B127" s="275">
        <f>CDCM!B239+CDCM!C239+CDCM!D239</f>
        <v>0</v>
      </c>
      <c r="C127" s="276">
        <f>CDCM!E239</f>
        <v>0</v>
      </c>
      <c r="D127" s="275">
        <f>0.01*CDCM!F$14*(CDCM!$E4471*CDCM!E239+CDCM!$F4471*CDCM!F239+CDCM!$G4471*CDCM!G239)+10*(CDCM!$B4471*CDCM!B239+CDCM!$C4471*CDCM!C239+CDCM!$D4471*CDCM!D239+CDCM!$H4471*CDCM!H239)</f>
        <v>0</v>
      </c>
      <c r="E127" s="275">
        <f>10*(CDCM!$B4471*CDCM!B239+CDCM!$C4471*CDCM!C239+CDCM!$D4471*CDCM!D239)</f>
        <v>0</v>
      </c>
      <c r="F127" s="275">
        <f>CDCM!E4471*CDCM!$F$14*CDCM!$E239/100</f>
        <v>0</v>
      </c>
      <c r="G127" s="275">
        <f>CDCM!F4471*CDCM!$F$14*CDCM!$F239/100</f>
        <v>0</v>
      </c>
      <c r="H127" s="275">
        <f>CDCM!G4471*CDCM!$F$14*CDCM!$G239/100</f>
        <v>0</v>
      </c>
      <c r="I127" s="275">
        <f>CDCM!H4471*CDCM!$H239*10</f>
        <v>0</v>
      </c>
      <c r="J127" s="273" t="str">
        <f>IF(B127&lt;&gt;0,0.1*D127/B127,"")</f>
        <v/>
      </c>
      <c r="K127" s="278" t="str">
        <f>IF(C127&lt;&gt;0,D127/C127,"")</f>
        <v/>
      </c>
      <c r="L127" s="273">
        <f>IF(B127&lt;&gt;0,0.1*E127/B127,0)</f>
        <v>0</v>
      </c>
      <c r="M127" s="275">
        <f>CDCM!B4471*CDCM!$B239*10</f>
        <v>0</v>
      </c>
      <c r="N127" s="275">
        <f>CDCM!C4471*CDCM!$C239*10</f>
        <v>0</v>
      </c>
      <c r="O127" s="275">
        <f>CDCM!D4471*CDCM!$D239*10</f>
        <v>0</v>
      </c>
      <c r="P127" s="289" t="str">
        <f>IF(E127&lt;&gt;0,$M127/E127,"")</f>
        <v/>
      </c>
      <c r="Q127" s="289" t="str">
        <f>IF(E127&lt;&gt;0,$N127/E127,"")</f>
        <v/>
      </c>
      <c r="R127" s="289" t="str">
        <f>IF(E127&lt;&gt;0,$O127/E127,"")</f>
        <v/>
      </c>
      <c r="S127" s="289" t="str">
        <f>IF(D127&lt;&gt;0,$F127/D127,"")</f>
        <v/>
      </c>
      <c r="T127" s="289" t="str">
        <f>IF(D127&lt;&gt;0,$G127/D127,"")</f>
        <v/>
      </c>
      <c r="U127" s="289" t="str">
        <f>IF(D127&lt;&gt;0,$H127/D127,"")</f>
        <v/>
      </c>
      <c r="V127" s="289" t="str">
        <f>IF(D127&lt;&gt;0,$I127/D127,"")</f>
        <v/>
      </c>
      <c r="W127" s="265"/>
    </row>
    <row r="128" spans="1:23">
      <c r="A128" s="288" t="s">
        <v>1561</v>
      </c>
      <c r="W128" s="265"/>
    </row>
    <row r="129" spans="1:23">
      <c r="A129" s="285" t="s">
        <v>1518</v>
      </c>
      <c r="B129" s="275">
        <f>CDCM!B241+CDCM!C241+CDCM!D241</f>
        <v>0</v>
      </c>
      <c r="C129" s="276">
        <f>CDCM!E241</f>
        <v>0</v>
      </c>
      <c r="D129" s="275">
        <f>0.01*CDCM!F$14*(CDCM!$E4473*CDCM!E241+CDCM!$F4473*CDCM!F241+CDCM!$G4473*CDCM!G241)+10*(CDCM!$B4473*CDCM!B241+CDCM!$C4473*CDCM!C241+CDCM!$D4473*CDCM!D241+CDCM!$H4473*CDCM!H241)</f>
        <v>0</v>
      </c>
      <c r="E129" s="275">
        <f>10*(CDCM!$B4473*CDCM!B241+CDCM!$C4473*CDCM!C241+CDCM!$D4473*CDCM!D241)</f>
        <v>0</v>
      </c>
      <c r="F129" s="275">
        <f>CDCM!E4473*CDCM!$F$14*CDCM!$E241/100</f>
        <v>0</v>
      </c>
      <c r="G129" s="275">
        <f>CDCM!F4473*CDCM!$F$14*CDCM!$F241/100</f>
        <v>0</v>
      </c>
      <c r="H129" s="275">
        <f>CDCM!G4473*CDCM!$F$14*CDCM!$G241/100</f>
        <v>0</v>
      </c>
      <c r="I129" s="275">
        <f>CDCM!H4473*CDCM!$H241*10</f>
        <v>0</v>
      </c>
      <c r="J129" s="273" t="str">
        <f>IF(B129&lt;&gt;0,0.1*D129/B129,"")</f>
        <v/>
      </c>
      <c r="K129" s="278" t="str">
        <f>IF(C129&lt;&gt;0,D129/C129,"")</f>
        <v/>
      </c>
      <c r="L129" s="273">
        <f>IF(B129&lt;&gt;0,0.1*E129/B129,0)</f>
        <v>0</v>
      </c>
      <c r="M129" s="275">
        <f>CDCM!B4473*CDCM!$B241*10</f>
        <v>0</v>
      </c>
      <c r="N129" s="275">
        <f>CDCM!C4473*CDCM!$C241*10</f>
        <v>0</v>
      </c>
      <c r="O129" s="275">
        <f>CDCM!D4473*CDCM!$D241*10</f>
        <v>0</v>
      </c>
      <c r="P129" s="289" t="str">
        <f>IF(E129&lt;&gt;0,$M129/E129,"")</f>
        <v/>
      </c>
      <c r="Q129" s="289" t="str">
        <f>IF(E129&lt;&gt;0,$N129/E129,"")</f>
        <v/>
      </c>
      <c r="R129" s="289" t="str">
        <f>IF(E129&lt;&gt;0,$O129/E129,"")</f>
        <v/>
      </c>
      <c r="S129" s="289" t="str">
        <f>IF(D129&lt;&gt;0,$F129/D129,"")</f>
        <v/>
      </c>
      <c r="T129" s="289" t="str">
        <f>IF(D129&lt;&gt;0,$G129/D129,"")</f>
        <v/>
      </c>
      <c r="U129" s="289" t="str">
        <f>IF(D129&lt;&gt;0,$H129/D129,"")</f>
        <v/>
      </c>
      <c r="V129" s="289" t="str">
        <f>IF(D129&lt;&gt;0,$I129/D129,"")</f>
        <v/>
      </c>
      <c r="W129" s="265"/>
    </row>
    <row r="130" spans="1:23">
      <c r="A130" s="288" t="s">
        <v>163</v>
      </c>
      <c r="W130" s="265"/>
    </row>
    <row r="131" spans="1:23">
      <c r="A131" s="285" t="s">
        <v>66</v>
      </c>
      <c r="B131" s="275">
        <f>CDCM!B243+CDCM!C243+CDCM!D243</f>
        <v>4092.981835864925</v>
      </c>
      <c r="C131" s="276">
        <f>CDCM!E243</f>
        <v>12.478949999999999</v>
      </c>
      <c r="D131" s="275">
        <f>0.01*CDCM!F$14*(CDCM!$E4475*CDCM!E243+CDCM!$F4475*CDCM!F243+CDCM!$G4475*CDCM!G243)+10*(CDCM!$B4475*CDCM!B243+CDCM!$C4475*CDCM!C243+CDCM!$D4475*CDCM!D243+CDCM!$H4475*CDCM!H243)</f>
        <v>-29433.267406987412</v>
      </c>
      <c r="E131" s="275">
        <f>10*(CDCM!$B4475*CDCM!B243+CDCM!$C4475*CDCM!C243+CDCM!$D4475*CDCM!D243)</f>
        <v>-30295.045247675858</v>
      </c>
      <c r="F131" s="275">
        <f>CDCM!E4475*CDCM!$F$14*CDCM!$E243/100</f>
        <v>0</v>
      </c>
      <c r="G131" s="275">
        <f>CDCM!F4475*CDCM!$F$14*CDCM!$F243/100</f>
        <v>0</v>
      </c>
      <c r="H131" s="275">
        <f>CDCM!G4475*CDCM!$F$14*CDCM!$G243/100</f>
        <v>0</v>
      </c>
      <c r="I131" s="275">
        <f>CDCM!H4475*CDCM!$H243*10</f>
        <v>861.77784068844835</v>
      </c>
      <c r="J131" s="273">
        <f>IF(B131&lt;&gt;0,0.1*D131/B131,"")</f>
        <v>-0.71911551497925486</v>
      </c>
      <c r="K131" s="278">
        <f>IF(C131&lt;&gt;0,D131/C131,"")</f>
        <v>-2358.6333310885461</v>
      </c>
      <c r="L131" s="273">
        <f>IF(B131&lt;&gt;0,0.1*E131/B131,0)</f>
        <v>-0.74017052756536217</v>
      </c>
      <c r="M131" s="275">
        <f>CDCM!B4475*CDCM!$B243*10</f>
        <v>-23258.510931430086</v>
      </c>
      <c r="N131" s="275">
        <f>CDCM!C4475*CDCM!$C243*10</f>
        <v>-4815.8629605729611</v>
      </c>
      <c r="O131" s="275">
        <f>CDCM!D4475*CDCM!$D243*10</f>
        <v>-2220.6713556728064</v>
      </c>
      <c r="P131" s="289">
        <f>IF(E131&lt;&gt;0,$M131/E131,"")</f>
        <v>0.76773316366690048</v>
      </c>
      <c r="Q131" s="289">
        <f>IF(E131&lt;&gt;0,$N131/E131,"")</f>
        <v>0.15896536615809873</v>
      </c>
      <c r="R131" s="289">
        <f>IF(E131&lt;&gt;0,$O131/E131,"")</f>
        <v>7.3301470175000633E-2</v>
      </c>
      <c r="S131" s="289">
        <f>IF(D131&lt;&gt;0,$F131/D131,"")</f>
        <v>0</v>
      </c>
      <c r="T131" s="289">
        <f>IF(D131&lt;&gt;0,$G131/D131,"")</f>
        <v>0</v>
      </c>
      <c r="U131" s="289">
        <f>IF(D131&lt;&gt;0,$H131/D131,"")</f>
        <v>0</v>
      </c>
      <c r="V131" s="289">
        <f>IF(D131&lt;&gt;0,$I131/D131,"")</f>
        <v>-2.9279040915581925E-2</v>
      </c>
      <c r="W131" s="265"/>
    </row>
    <row r="132" spans="1:23">
      <c r="A132" s="285" t="s">
        <v>164</v>
      </c>
      <c r="B132" s="275">
        <f>CDCM!B244+CDCM!C244+CDCM!D244</f>
        <v>0</v>
      </c>
      <c r="C132" s="276">
        <f>CDCM!E244</f>
        <v>0</v>
      </c>
      <c r="D132" s="275">
        <f>0.01*CDCM!F$14*(CDCM!$E4476*CDCM!E244+CDCM!$F4476*CDCM!F244+CDCM!$G4476*CDCM!G244)+10*(CDCM!$B4476*CDCM!B244+CDCM!$C4476*CDCM!C244+CDCM!$D4476*CDCM!D244+CDCM!$H4476*CDCM!H244)</f>
        <v>0</v>
      </c>
      <c r="E132" s="275">
        <f>10*(CDCM!$B4476*CDCM!B244+CDCM!$C4476*CDCM!C244+CDCM!$D4476*CDCM!D244)</f>
        <v>0</v>
      </c>
      <c r="F132" s="275">
        <f>CDCM!E4476*CDCM!$F$14*CDCM!$E244/100</f>
        <v>0</v>
      </c>
      <c r="G132" s="275">
        <f>CDCM!F4476*CDCM!$F$14*CDCM!$F244/100</f>
        <v>0</v>
      </c>
      <c r="H132" s="275">
        <f>CDCM!G4476*CDCM!$F$14*CDCM!$G244/100</f>
        <v>0</v>
      </c>
      <c r="I132" s="275">
        <f>CDCM!H4476*CDCM!$H244*10</f>
        <v>0</v>
      </c>
      <c r="J132" s="273" t="str">
        <f>IF(B132&lt;&gt;0,0.1*D132/B132,"")</f>
        <v/>
      </c>
      <c r="K132" s="278" t="str">
        <f>IF(C132&lt;&gt;0,D132/C132,"")</f>
        <v/>
      </c>
      <c r="L132" s="273">
        <f>IF(B132&lt;&gt;0,0.1*E132/B132,0)</f>
        <v>0</v>
      </c>
      <c r="M132" s="275">
        <f>CDCM!B4476*CDCM!$B244*10</f>
        <v>0</v>
      </c>
      <c r="N132" s="275">
        <f>CDCM!C4476*CDCM!$C244*10</f>
        <v>0</v>
      </c>
      <c r="O132" s="275">
        <f>CDCM!D4476*CDCM!$D244*10</f>
        <v>0</v>
      </c>
      <c r="P132" s="289" t="str">
        <f>IF(E132&lt;&gt;0,$M132/E132,"")</f>
        <v/>
      </c>
      <c r="Q132" s="289" t="str">
        <f>IF(E132&lt;&gt;0,$N132/E132,"")</f>
        <v/>
      </c>
      <c r="R132" s="289" t="str">
        <f>IF(E132&lt;&gt;0,$O132/E132,"")</f>
        <v/>
      </c>
      <c r="S132" s="289" t="str">
        <f>IF(D132&lt;&gt;0,$F132/D132,"")</f>
        <v/>
      </c>
      <c r="T132" s="289" t="str">
        <f>IF(D132&lt;&gt;0,$G132/D132,"")</f>
        <v/>
      </c>
      <c r="U132" s="289" t="str">
        <f>IF(D132&lt;&gt;0,$H132/D132,"")</f>
        <v/>
      </c>
      <c r="V132" s="289" t="str">
        <f>IF(D132&lt;&gt;0,$I132/D132,"")</f>
        <v/>
      </c>
      <c r="W132" s="265"/>
    </row>
    <row r="133" spans="1:23">
      <c r="A133" s="288" t="s">
        <v>1562</v>
      </c>
      <c r="W133" s="265"/>
    </row>
    <row r="134" spans="1:23">
      <c r="A134" s="285" t="s">
        <v>1519</v>
      </c>
      <c r="B134" s="275">
        <f>CDCM!B246+CDCM!C246+CDCM!D246</f>
        <v>0</v>
      </c>
      <c r="C134" s="276">
        <f>CDCM!E246</f>
        <v>0</v>
      </c>
      <c r="D134" s="275">
        <f>0.01*CDCM!F$14*(CDCM!$E4478*CDCM!E246+CDCM!$F4478*CDCM!F246+CDCM!$G4478*CDCM!G246)+10*(CDCM!$B4478*CDCM!B246+CDCM!$C4478*CDCM!C246+CDCM!$D4478*CDCM!D246+CDCM!$H4478*CDCM!H246)</f>
        <v>0</v>
      </c>
      <c r="E134" s="275">
        <f>10*(CDCM!$B4478*CDCM!B246+CDCM!$C4478*CDCM!C246+CDCM!$D4478*CDCM!D246)</f>
        <v>0</v>
      </c>
      <c r="F134" s="275">
        <f>CDCM!E4478*CDCM!$F$14*CDCM!$E246/100</f>
        <v>0</v>
      </c>
      <c r="G134" s="275">
        <f>CDCM!F4478*CDCM!$F$14*CDCM!$F246/100</f>
        <v>0</v>
      </c>
      <c r="H134" s="275">
        <f>CDCM!G4478*CDCM!$F$14*CDCM!$G246/100</f>
        <v>0</v>
      </c>
      <c r="I134" s="275">
        <f>CDCM!H4478*CDCM!$H246*10</f>
        <v>0</v>
      </c>
      <c r="J134" s="273" t="str">
        <f>IF(B134&lt;&gt;0,0.1*D134/B134,"")</f>
        <v/>
      </c>
      <c r="K134" s="278" t="str">
        <f>IF(C134&lt;&gt;0,D134/C134,"")</f>
        <v/>
      </c>
      <c r="L134" s="273">
        <f>IF(B134&lt;&gt;0,0.1*E134/B134,0)</f>
        <v>0</v>
      </c>
      <c r="M134" s="275">
        <f>CDCM!B4478*CDCM!$B246*10</f>
        <v>0</v>
      </c>
      <c r="N134" s="275">
        <f>CDCM!C4478*CDCM!$C246*10</f>
        <v>0</v>
      </c>
      <c r="O134" s="275">
        <f>CDCM!D4478*CDCM!$D246*10</f>
        <v>0</v>
      </c>
      <c r="P134" s="289" t="str">
        <f>IF(E134&lt;&gt;0,$M134/E134,"")</f>
        <v/>
      </c>
      <c r="Q134" s="289" t="str">
        <f>IF(E134&lt;&gt;0,$N134/E134,"")</f>
        <v/>
      </c>
      <c r="R134" s="289" t="str">
        <f>IF(E134&lt;&gt;0,$O134/E134,"")</f>
        <v/>
      </c>
      <c r="S134" s="289" t="str">
        <f>IF(D134&lt;&gt;0,$F134/D134,"")</f>
        <v/>
      </c>
      <c r="T134" s="289" t="str">
        <f>IF(D134&lt;&gt;0,$G134/D134,"")</f>
        <v/>
      </c>
      <c r="U134" s="289" t="str">
        <f>IF(D134&lt;&gt;0,$H134/D134,"")</f>
        <v/>
      </c>
      <c r="V134" s="289" t="str">
        <f>IF(D134&lt;&gt;0,$I134/D134,"")</f>
        <v/>
      </c>
      <c r="W134" s="265"/>
    </row>
    <row r="135" spans="1:23">
      <c r="A135" s="288" t="s">
        <v>165</v>
      </c>
      <c r="W135" s="265"/>
    </row>
    <row r="136" spans="1:23">
      <c r="A136" s="285" t="s">
        <v>74</v>
      </c>
      <c r="B136" s="275">
        <f>CDCM!B248+CDCM!C248+CDCM!D248</f>
        <v>408798.58803053456</v>
      </c>
      <c r="C136" s="276">
        <f>CDCM!E248</f>
        <v>237.99717534246571</v>
      </c>
      <c r="D136" s="275">
        <f>0.01*CDCM!F$14*(CDCM!$E4480*CDCM!E248+CDCM!$F4480*CDCM!F248+CDCM!$G4480*CDCM!G248)+10*(CDCM!$B4480*CDCM!B248+CDCM!$C4480*CDCM!C248+CDCM!$D4480*CDCM!D248+CDCM!$H4480*CDCM!H248)</f>
        <v>-1809247.8692189546</v>
      </c>
      <c r="E136" s="275">
        <f>10*(CDCM!$B4480*CDCM!B248+CDCM!$C4480*CDCM!C248+CDCM!$D4480*CDCM!D248)</f>
        <v>-1855945.5896586271</v>
      </c>
      <c r="F136" s="275">
        <f>CDCM!E4480*CDCM!$F$14*CDCM!$E248/100</f>
        <v>42478.925840999997</v>
      </c>
      <c r="G136" s="275">
        <f>CDCM!F4480*CDCM!$F$14*CDCM!$F248/100</f>
        <v>0</v>
      </c>
      <c r="H136" s="275">
        <f>CDCM!G4480*CDCM!$F$14*CDCM!$G248/100</f>
        <v>0</v>
      </c>
      <c r="I136" s="275">
        <f>CDCM!H4480*CDCM!$H248*10</f>
        <v>4218.7945986725008</v>
      </c>
      <c r="J136" s="273">
        <f>IF(B136&lt;&gt;0,0.1*D136/B136,"")</f>
        <v>-0.44257683910684537</v>
      </c>
      <c r="K136" s="278">
        <f>IF(C136&lt;&gt;0,D136/C136,"")</f>
        <v>-7601.972025993753</v>
      </c>
      <c r="L136" s="273">
        <f>IF(B136&lt;&gt;0,0.1*E136/B136,0)</f>
        <v>-0.45400000000000007</v>
      </c>
      <c r="M136" s="275">
        <f>CDCM!B4480*CDCM!$B248*10</f>
        <v>-1855945.5896586271</v>
      </c>
      <c r="N136" s="275">
        <f>CDCM!C4480*CDCM!$C248*10</f>
        <v>0</v>
      </c>
      <c r="O136" s="275">
        <f>CDCM!D4480*CDCM!$D248*10</f>
        <v>0</v>
      </c>
      <c r="P136" s="289">
        <f>IF(E136&lt;&gt;0,$M136/E136,"")</f>
        <v>1</v>
      </c>
      <c r="Q136" s="289">
        <f>IF(E136&lt;&gt;0,$N136/E136,"")</f>
        <v>0</v>
      </c>
      <c r="R136" s="289">
        <f>IF(E136&lt;&gt;0,$O136/E136,"")</f>
        <v>0</v>
      </c>
      <c r="S136" s="289">
        <f>IF(D136&lt;&gt;0,$F136/D136,"")</f>
        <v>-2.3478776216184234E-2</v>
      </c>
      <c r="T136" s="289">
        <f>IF(D136&lt;&gt;0,$G136/D136,"")</f>
        <v>0</v>
      </c>
      <c r="U136" s="289">
        <f>IF(D136&lt;&gt;0,$H136/D136,"")</f>
        <v>0</v>
      </c>
      <c r="V136" s="289">
        <f>IF(D136&lt;&gt;0,$I136/D136,"")</f>
        <v>-2.331794703449748E-3</v>
      </c>
      <c r="W136" s="265"/>
    </row>
    <row r="137" spans="1:23">
      <c r="A137" s="285" t="s">
        <v>166</v>
      </c>
      <c r="B137" s="275">
        <f>CDCM!B249+CDCM!C249+CDCM!D249</f>
        <v>28.965318951724136</v>
      </c>
      <c r="C137" s="276">
        <f>CDCM!E249</f>
        <v>1.9710246575342465</v>
      </c>
      <c r="D137" s="275">
        <f>0.01*CDCM!F$14*(CDCM!$E4481*CDCM!E249+CDCM!$F4481*CDCM!F249+CDCM!$G4481*CDCM!G249)+10*(CDCM!$B4481*CDCM!B249+CDCM!$C4481*CDCM!C249+CDCM!$D4481*CDCM!D249+CDCM!$H4481*CDCM!H249)</f>
        <v>-131.50254804082758</v>
      </c>
      <c r="E137" s="275">
        <f>10*(CDCM!$B4481*CDCM!B249+CDCM!$C4481*CDCM!C249+CDCM!$D4481*CDCM!D249)</f>
        <v>-131.50254804082758</v>
      </c>
      <c r="F137" s="275">
        <f>CDCM!E4481*CDCM!$F$14*CDCM!$E249/100</f>
        <v>0</v>
      </c>
      <c r="G137" s="275">
        <f>CDCM!F4481*CDCM!$F$14*CDCM!$F249/100</f>
        <v>0</v>
      </c>
      <c r="H137" s="275">
        <f>CDCM!G4481*CDCM!$F$14*CDCM!$G249/100</f>
        <v>0</v>
      </c>
      <c r="I137" s="275">
        <f>CDCM!H4481*CDCM!$H249*10</f>
        <v>0</v>
      </c>
      <c r="J137" s="273">
        <f>IF(B137&lt;&gt;0,0.1*D137/B137,"")</f>
        <v>-0.45400000000000001</v>
      </c>
      <c r="K137" s="278">
        <f>IF(C137&lt;&gt;0,D137/C137,"")</f>
        <v>-66.71786044794456</v>
      </c>
      <c r="L137" s="273">
        <f>IF(B137&lt;&gt;0,0.1*E137/B137,0)</f>
        <v>-0.45400000000000001</v>
      </c>
      <c r="M137" s="275">
        <f>CDCM!B4481*CDCM!$B249*10</f>
        <v>-131.50254804082758</v>
      </c>
      <c r="N137" s="275">
        <f>CDCM!C4481*CDCM!$C249*10</f>
        <v>0</v>
      </c>
      <c r="O137" s="275">
        <f>CDCM!D4481*CDCM!$D249*10</f>
        <v>0</v>
      </c>
      <c r="P137" s="289">
        <f>IF(E137&lt;&gt;0,$M137/E137,"")</f>
        <v>1</v>
      </c>
      <c r="Q137" s="289">
        <f>IF(E137&lt;&gt;0,$N137/E137,"")</f>
        <v>0</v>
      </c>
      <c r="R137" s="289">
        <f>IF(E137&lt;&gt;0,$O137/E137,"")</f>
        <v>0</v>
      </c>
      <c r="S137" s="289">
        <f>IF(D137&lt;&gt;0,$F137/D137,"")</f>
        <v>0</v>
      </c>
      <c r="T137" s="289">
        <f>IF(D137&lt;&gt;0,$G137/D137,"")</f>
        <v>0</v>
      </c>
      <c r="U137" s="289">
        <f>IF(D137&lt;&gt;0,$H137/D137,"")</f>
        <v>0</v>
      </c>
      <c r="V137" s="289">
        <f>IF(D137&lt;&gt;0,$I137/D137,"")</f>
        <v>0</v>
      </c>
      <c r="W137" s="265"/>
    </row>
    <row r="138" spans="1:23">
      <c r="A138" s="288" t="s">
        <v>1563</v>
      </c>
      <c r="W138" s="265"/>
    </row>
    <row r="139" spans="1:23">
      <c r="A139" s="285" t="s">
        <v>1520</v>
      </c>
      <c r="B139" s="275">
        <f>CDCM!B251+CDCM!C251+CDCM!D251</f>
        <v>0</v>
      </c>
      <c r="C139" s="276">
        <f>CDCM!E251</f>
        <v>0</v>
      </c>
      <c r="D139" s="275">
        <f>0.01*CDCM!F$14*(CDCM!$E4483*CDCM!E251+CDCM!$F4483*CDCM!F251+CDCM!$G4483*CDCM!G251)+10*(CDCM!$B4483*CDCM!B251+CDCM!$C4483*CDCM!C251+CDCM!$D4483*CDCM!D251+CDCM!$H4483*CDCM!H251)</f>
        <v>0</v>
      </c>
      <c r="E139" s="275">
        <f>10*(CDCM!$B4483*CDCM!B251+CDCM!$C4483*CDCM!C251+CDCM!$D4483*CDCM!D251)</f>
        <v>0</v>
      </c>
      <c r="F139" s="275">
        <f>CDCM!E4483*CDCM!$F$14*CDCM!$E251/100</f>
        <v>0</v>
      </c>
      <c r="G139" s="275">
        <f>CDCM!F4483*CDCM!$F$14*CDCM!$F251/100</f>
        <v>0</v>
      </c>
      <c r="H139" s="275">
        <f>CDCM!G4483*CDCM!$F$14*CDCM!$G251/100</f>
        <v>0</v>
      </c>
      <c r="I139" s="275">
        <f>CDCM!H4483*CDCM!$H251*10</f>
        <v>0</v>
      </c>
      <c r="J139" s="273" t="str">
        <f>IF(B139&lt;&gt;0,0.1*D139/B139,"")</f>
        <v/>
      </c>
      <c r="K139" s="278" t="str">
        <f>IF(C139&lt;&gt;0,D139/C139,"")</f>
        <v/>
      </c>
      <c r="L139" s="273">
        <f>IF(B139&lt;&gt;0,0.1*E139/B139,0)</f>
        <v>0</v>
      </c>
      <c r="M139" s="275">
        <f>CDCM!B4483*CDCM!$B251*10</f>
        <v>0</v>
      </c>
      <c r="N139" s="275">
        <f>CDCM!C4483*CDCM!$C251*10</f>
        <v>0</v>
      </c>
      <c r="O139" s="275">
        <f>CDCM!D4483*CDCM!$D251*10</f>
        <v>0</v>
      </c>
      <c r="P139" s="289" t="str">
        <f>IF(E139&lt;&gt;0,$M139/E139,"")</f>
        <v/>
      </c>
      <c r="Q139" s="289" t="str">
        <f>IF(E139&lt;&gt;0,$N139/E139,"")</f>
        <v/>
      </c>
      <c r="R139" s="289" t="str">
        <f>IF(E139&lt;&gt;0,$O139/E139,"")</f>
        <v/>
      </c>
      <c r="S139" s="289" t="str">
        <f>IF(D139&lt;&gt;0,$F139/D139,"")</f>
        <v/>
      </c>
      <c r="T139" s="289" t="str">
        <f>IF(D139&lt;&gt;0,$G139/D139,"")</f>
        <v/>
      </c>
      <c r="U139" s="289" t="str">
        <f>IF(D139&lt;&gt;0,$H139/D139,"")</f>
        <v/>
      </c>
      <c r="V139" s="289" t="str">
        <f>IF(D139&lt;&gt;0,$I139/D139,"")</f>
        <v/>
      </c>
      <c r="W139" s="265"/>
    </row>
    <row r="140" spans="1:23">
      <c r="A140" s="288" t="s">
        <v>167</v>
      </c>
      <c r="W140" s="265"/>
    </row>
    <row r="141" spans="1:23">
      <c r="A141" s="285" t="s">
        <v>75</v>
      </c>
      <c r="B141" s="275">
        <f>CDCM!B253+CDCM!C253+CDCM!D253</f>
        <v>248137.44553724525</v>
      </c>
      <c r="C141" s="276">
        <f>CDCM!E253</f>
        <v>70.943264383561655</v>
      </c>
      <c r="D141" s="275">
        <f>0.01*CDCM!F$14*(CDCM!$E4485*CDCM!E253+CDCM!$F4485*CDCM!F253+CDCM!$G4485*CDCM!G253)+10*(CDCM!$B4485*CDCM!B253+CDCM!$C4485*CDCM!C253+CDCM!$D4485*CDCM!D253+CDCM!$H4485*CDCM!H253)</f>
        <v>-1315995.3906184863</v>
      </c>
      <c r="E141" s="275">
        <f>10*(CDCM!$B4485*CDCM!B253+CDCM!$C4485*CDCM!C253+CDCM!$D4485*CDCM!D253)</f>
        <v>-1331330.9245502425</v>
      </c>
      <c r="F141" s="275">
        <f>CDCM!E4485*CDCM!$F$14*CDCM!$E253/100</f>
        <v>12662.308543500001</v>
      </c>
      <c r="G141" s="275">
        <f>CDCM!F4485*CDCM!$F$14*CDCM!$F253/100</f>
        <v>0</v>
      </c>
      <c r="H141" s="275">
        <f>CDCM!G4485*CDCM!$F$14*CDCM!$G253/100</f>
        <v>0</v>
      </c>
      <c r="I141" s="275">
        <f>CDCM!H4485*CDCM!$H253*10</f>
        <v>2673.2253882561208</v>
      </c>
      <c r="J141" s="273">
        <f>IF(B141&lt;&gt;0,0.1*D141/B141,"")</f>
        <v>-0.53034937462550624</v>
      </c>
      <c r="K141" s="278">
        <f>IF(C141&lt;&gt;0,D141/C141,"")</f>
        <v>-18549.969501028729</v>
      </c>
      <c r="L141" s="273">
        <f>IF(B141&lt;&gt;0,0.1*E141/B141,0)</f>
        <v>-0.53652963246549201</v>
      </c>
      <c r="M141" s="275">
        <f>CDCM!B4485*CDCM!$B253*10</f>
        <v>-1119049.7085265191</v>
      </c>
      <c r="N141" s="275">
        <f>CDCM!C4485*CDCM!$C253*10</f>
        <v>-142913.84229703597</v>
      </c>
      <c r="O141" s="275">
        <f>CDCM!D4485*CDCM!$D253*10</f>
        <v>-69367.373726687525</v>
      </c>
      <c r="P141" s="289">
        <f>IF(E141&lt;&gt;0,$M141/E141,"")</f>
        <v>0.84054962435771752</v>
      </c>
      <c r="Q141" s="289">
        <f>IF(E141&lt;&gt;0,$N141/E141,"")</f>
        <v>0.10734659554709577</v>
      </c>
      <c r="R141" s="289">
        <f>IF(E141&lt;&gt;0,$O141/E141,"")</f>
        <v>5.2103780095186771E-2</v>
      </c>
      <c r="S141" s="289">
        <f>IF(D141&lt;&gt;0,$F141/D141,"")</f>
        <v>-9.6218487038537571E-3</v>
      </c>
      <c r="T141" s="289">
        <f>IF(D141&lt;&gt;0,$G141/D141,"")</f>
        <v>0</v>
      </c>
      <c r="U141" s="289">
        <f>IF(D141&lt;&gt;0,$H141/D141,"")</f>
        <v>0</v>
      </c>
      <c r="V141" s="289">
        <f>IF(D141&lt;&gt;0,$I141/D141,"")</f>
        <v>-2.0313333977558757E-3</v>
      </c>
      <c r="W141" s="265"/>
    </row>
    <row r="142" spans="1:23">
      <c r="A142" s="285" t="s">
        <v>168</v>
      </c>
      <c r="B142" s="275">
        <f>CDCM!B254+CDCM!C254+CDCM!D254</f>
        <v>3.9151496751291055</v>
      </c>
      <c r="C142" s="276">
        <f>CDCM!E254</f>
        <v>1.3382136986301367</v>
      </c>
      <c r="D142" s="275">
        <f>0.01*CDCM!F$14*(CDCM!$E4486*CDCM!E254+CDCM!$F4486*CDCM!F254+CDCM!$G4486*CDCM!G254)+10*(CDCM!$B4486*CDCM!B254+CDCM!$C4486*CDCM!C254+CDCM!$D4486*CDCM!D254+CDCM!$H4486*CDCM!H254)</f>
        <v>-6.1067443339993019</v>
      </c>
      <c r="E142" s="275">
        <f>10*(CDCM!$B4486*CDCM!B254+CDCM!$C4486*CDCM!C254+CDCM!$D4486*CDCM!D254)</f>
        <v>-7.1419399157924062</v>
      </c>
      <c r="F142" s="275">
        <f>CDCM!E4486*CDCM!$F$14*CDCM!$E254/100</f>
        <v>0</v>
      </c>
      <c r="G142" s="275">
        <f>CDCM!F4486*CDCM!$F$14*CDCM!$F254/100</f>
        <v>0</v>
      </c>
      <c r="H142" s="275">
        <f>CDCM!G4486*CDCM!$F$14*CDCM!$G254/100</f>
        <v>0</v>
      </c>
      <c r="I142" s="275">
        <f>CDCM!H4486*CDCM!$H254*10</f>
        <v>1.0351955817931033</v>
      </c>
      <c r="J142" s="273">
        <f>IF(B142&lt;&gt;0,0.1*D142/B142,"")</f>
        <v>-0.1559772892666722</v>
      </c>
      <c r="K142" s="278">
        <f>IF(C142&lt;&gt;0,D142/C142,"")</f>
        <v>-4.5633551205240792</v>
      </c>
      <c r="L142" s="273">
        <f>IF(B142&lt;&gt;0,0.1*E142/B142,0)</f>
        <v>-0.18241805571729247</v>
      </c>
      <c r="M142" s="275">
        <f>CDCM!B4486*CDCM!$B254*10</f>
        <v>-4.2892692718403564</v>
      </c>
      <c r="N142" s="275">
        <f>CDCM!C4486*CDCM!$C254*10</f>
        <v>-1.3150702993173093</v>
      </c>
      <c r="O142" s="275">
        <f>CDCM!D4486*CDCM!$D254*10</f>
        <v>-1.5376003446347393</v>
      </c>
      <c r="P142" s="289">
        <f>IF(E142&lt;&gt;0,$M142/E142,"")</f>
        <v>0.60057481894461684</v>
      </c>
      <c r="Q142" s="289">
        <f>IF(E142&lt;&gt;0,$N142/E142,"")</f>
        <v>0.18413348681489164</v>
      </c>
      <c r="R142" s="289">
        <f>IF(E142&lt;&gt;0,$O142/E142,"")</f>
        <v>0.21529169424049135</v>
      </c>
      <c r="S142" s="289">
        <f>IF(D142&lt;&gt;0,$F142/D142,"")</f>
        <v>0</v>
      </c>
      <c r="T142" s="289">
        <f>IF(D142&lt;&gt;0,$G142/D142,"")</f>
        <v>0</v>
      </c>
      <c r="U142" s="289">
        <f>IF(D142&lt;&gt;0,$H142/D142,"")</f>
        <v>0</v>
      </c>
      <c r="V142" s="289">
        <f>IF(D142&lt;&gt;0,$I142/D142,"")</f>
        <v>-0.1695167711590039</v>
      </c>
      <c r="W142" s="265"/>
    </row>
    <row r="143" spans="1:23">
      <c r="A143" s="288" t="s">
        <v>1564</v>
      </c>
      <c r="W143" s="265"/>
    </row>
    <row r="144" spans="1:23">
      <c r="A144" s="285" t="s">
        <v>1521</v>
      </c>
      <c r="B144" s="275">
        <f>CDCM!B256+CDCM!C256+CDCM!D256</f>
        <v>0</v>
      </c>
      <c r="C144" s="276">
        <f>CDCM!E256</f>
        <v>0</v>
      </c>
      <c r="D144" s="275">
        <f>0.01*CDCM!F$14*(CDCM!$E4488*CDCM!E256+CDCM!$F4488*CDCM!F256+CDCM!$G4488*CDCM!G256)+10*(CDCM!$B4488*CDCM!B256+CDCM!$C4488*CDCM!C256+CDCM!$D4488*CDCM!D256+CDCM!$H4488*CDCM!H256)</f>
        <v>0</v>
      </c>
      <c r="E144" s="275">
        <f>10*(CDCM!$B4488*CDCM!B256+CDCM!$C4488*CDCM!C256+CDCM!$D4488*CDCM!D256)</f>
        <v>0</v>
      </c>
      <c r="F144" s="275">
        <f>CDCM!E4488*CDCM!$F$14*CDCM!$E256/100</f>
        <v>0</v>
      </c>
      <c r="G144" s="275">
        <f>CDCM!F4488*CDCM!$F$14*CDCM!$F256/100</f>
        <v>0</v>
      </c>
      <c r="H144" s="275">
        <f>CDCM!G4488*CDCM!$F$14*CDCM!$G256/100</f>
        <v>0</v>
      </c>
      <c r="I144" s="275">
        <f>CDCM!H4488*CDCM!$H256*10</f>
        <v>0</v>
      </c>
      <c r="J144" s="273" t="str">
        <f>IF(B144&lt;&gt;0,0.1*D144/B144,"")</f>
        <v/>
      </c>
      <c r="K144" s="278" t="str">
        <f>IF(C144&lt;&gt;0,D144/C144,"")</f>
        <v/>
      </c>
      <c r="L144" s="273">
        <f>IF(B144&lt;&gt;0,0.1*E144/B144,0)</f>
        <v>0</v>
      </c>
      <c r="M144" s="275">
        <f>CDCM!B4488*CDCM!$B256*10</f>
        <v>0</v>
      </c>
      <c r="N144" s="275">
        <f>CDCM!C4488*CDCM!$C256*10</f>
        <v>0</v>
      </c>
      <c r="O144" s="275">
        <f>CDCM!D4488*CDCM!$D256*10</f>
        <v>0</v>
      </c>
      <c r="P144" s="289" t="str">
        <f>IF(E144&lt;&gt;0,$M144/E144,"")</f>
        <v/>
      </c>
      <c r="Q144" s="289" t="str">
        <f>IF(E144&lt;&gt;0,$N144/E144,"")</f>
        <v/>
      </c>
      <c r="R144" s="289" t="str">
        <f>IF(E144&lt;&gt;0,$O144/E144,"")</f>
        <v/>
      </c>
      <c r="S144" s="289" t="str">
        <f>IF(D144&lt;&gt;0,$F144/D144,"")</f>
        <v/>
      </c>
      <c r="T144" s="289" t="str">
        <f>IF(D144&lt;&gt;0,$G144/D144,"")</f>
        <v/>
      </c>
      <c r="U144" s="289" t="str">
        <f>IF(D144&lt;&gt;0,$H144/D144,"")</f>
        <v/>
      </c>
      <c r="V144" s="289" t="str">
        <f>IF(D144&lt;&gt;0,$I144/D144,"")</f>
        <v/>
      </c>
      <c r="W144" s="265"/>
    </row>
    <row r="146" spans="1:10" ht="21" customHeight="1">
      <c r="A146" s="1" t="s">
        <v>1410</v>
      </c>
    </row>
    <row r="147" spans="1:10">
      <c r="A147" s="264" t="s">
        <v>217</v>
      </c>
    </row>
    <row r="148" spans="1:10">
      <c r="A148" s="269" t="s">
        <v>1409</v>
      </c>
    </row>
    <row r="149" spans="1:10">
      <c r="A149" s="269" t="s">
        <v>1408</v>
      </c>
    </row>
    <row r="150" spans="1:10">
      <c r="A150" s="269" t="s">
        <v>1407</v>
      </c>
    </row>
    <row r="151" spans="1:10">
      <c r="A151" s="269" t="s">
        <v>1406</v>
      </c>
    </row>
    <row r="152" spans="1:10">
      <c r="A152" s="269" t="s">
        <v>1405</v>
      </c>
    </row>
    <row r="153" spans="1:10">
      <c r="A153" s="269" t="s">
        <v>1404</v>
      </c>
    </row>
    <row r="154" spans="1:10">
      <c r="A154" s="269" t="s">
        <v>1565</v>
      </c>
    </row>
    <row r="155" spans="1:10">
      <c r="A155" s="269" t="s">
        <v>1566</v>
      </c>
    </row>
    <row r="156" spans="1:10">
      <c r="A156" s="270" t="s">
        <v>220</v>
      </c>
      <c r="B156" s="270" t="s">
        <v>343</v>
      </c>
      <c r="C156" s="270" t="s">
        <v>343</v>
      </c>
      <c r="D156" s="270" t="s">
        <v>343</v>
      </c>
      <c r="E156" s="270" t="s">
        <v>343</v>
      </c>
      <c r="F156" s="270" t="s">
        <v>343</v>
      </c>
      <c r="G156" s="270" t="s">
        <v>343</v>
      </c>
      <c r="H156" s="270" t="s">
        <v>343</v>
      </c>
      <c r="I156" s="270" t="s">
        <v>343</v>
      </c>
    </row>
    <row r="157" spans="1:10">
      <c r="A157" s="270" t="s">
        <v>223</v>
      </c>
      <c r="B157" s="270" t="s">
        <v>391</v>
      </c>
      <c r="C157" s="270" t="s">
        <v>392</v>
      </c>
      <c r="D157" s="270" t="s">
        <v>393</v>
      </c>
      <c r="E157" s="270" t="s">
        <v>394</v>
      </c>
      <c r="F157" s="270" t="s">
        <v>345</v>
      </c>
      <c r="G157" s="270" t="s">
        <v>395</v>
      </c>
      <c r="H157" s="270" t="s">
        <v>959</v>
      </c>
      <c r="I157" s="270" t="s">
        <v>1567</v>
      </c>
    </row>
    <row r="159" spans="1:10" ht="45">
      <c r="B159" s="284" t="s">
        <v>960</v>
      </c>
      <c r="C159" s="284" t="s">
        <v>961</v>
      </c>
      <c r="D159" s="284" t="s">
        <v>900</v>
      </c>
      <c r="E159" s="284" t="s">
        <v>962</v>
      </c>
      <c r="F159" s="284" t="s">
        <v>963</v>
      </c>
      <c r="G159" s="284" t="s">
        <v>964</v>
      </c>
      <c r="H159" s="284" t="s">
        <v>1568</v>
      </c>
      <c r="I159" s="284" t="s">
        <v>965</v>
      </c>
    </row>
    <row r="160" spans="1:10">
      <c r="A160" s="285" t="s">
        <v>966</v>
      </c>
      <c r="B160" s="275">
        <f>SUM(B$36:B$144)</f>
        <v>13277802.431886537</v>
      </c>
      <c r="C160" s="275">
        <f>SUM(C$36:C$144)</f>
        <v>1655500.8818487287</v>
      </c>
      <c r="D160" s="275">
        <f>SUM(D$36:D$144)</f>
        <v>376145157.01342362</v>
      </c>
      <c r="E160" s="275">
        <f>SUM(E$36:E$144)</f>
        <v>314487995.13054889</v>
      </c>
      <c r="F160" s="275">
        <f>SUM($F$36:$F$144)</f>
        <v>37024616.721636362</v>
      </c>
      <c r="G160" s="275">
        <f>SUM($G$36:$G$144)</f>
        <v>23374791.523527574</v>
      </c>
      <c r="H160" s="275">
        <f>SUM($H$36:$H$144)</f>
        <v>888746.70409370027</v>
      </c>
      <c r="I160" s="275">
        <f>SUM($I$36:$I$144)</f>
        <v>369006.93361720815</v>
      </c>
      <c r="J160" s="265"/>
    </row>
  </sheetData>
  <sheetProtection sheet="1" objects="1" scenarios="1"/>
  <hyperlinks>
    <hyperlink ref="A6" location="'CDCM'!B147" display="x1 = 1053. Rate 1 units (MWh) by tariff (in Volume forecasts for the charging year)"/>
    <hyperlink ref="A7" location="'CDCM'!C147" display="x2 = 1053. Rate 2 units (MWh) by tariff (in Volume forecasts for the charging year)"/>
    <hyperlink ref="A8" location="'CDCM'!D147" display="x3 = 1053. Rate 3 units (MWh) by tariff (in Volume forecasts for the charging year)"/>
    <hyperlink ref="A9" location="'CDCM'!E147" display="x4 = 1053. MPANs by tariff (in Volume forecasts for the charging year)"/>
    <hyperlink ref="A10" location="'CDCM'!F13" display="x5 = 1010. Days in the charging year (in Financial and general assumptions)"/>
    <hyperlink ref="A11" location="'CDCM'!E4379" display="x6 = 3607. Fixed charge p/MPAN/day (in Tariffs)"/>
    <hyperlink ref="A12" location="'CDCM'!F4379" display="x7 = 3607. Capacity charge p/kVA/day (in Tariffs)"/>
    <hyperlink ref="A13" location="'CDCM'!F147" display="x8 = 1053. Import capacity (kVA) by tariff (in Volume forecasts for the charging year)"/>
    <hyperlink ref="A14" location="'CDCM'!G4379" display="x9 = 3607. Exceeded capacity charge p/kVA/day (in Tariffs)"/>
    <hyperlink ref="A15" location="'CDCM'!G147" display="x10 = 1053. Exceeded capacity (kVA) by tariff (in Volume forecasts for the charging year)"/>
    <hyperlink ref="A16" location="'CDCM'!B4379" display="x11 = 3607. Unit rate 1 p/kWh (in Tariffs)"/>
    <hyperlink ref="A17" location="'CDCM'!C4379" display="x12 = 3607. Unit rate 2 p/kWh (in Tariffs)"/>
    <hyperlink ref="A18" location="'CDCM'!D4379" display="x13 = 3607. Unit rate 3 p/kWh (in Tariffs)"/>
    <hyperlink ref="A19" location="'CDCM'!H4379" display="x14 = 3607. Reactive power charge p/kVArh (in Tariffs)"/>
    <hyperlink ref="A20" location="'CDCM'!H147" display="x15 = 1053. Reactive power units (MVArh) by tariff (in Volume forecasts for the charging year)"/>
    <hyperlink ref="A21" location="'Summary'!B35" display="x16 = All units (MWh) (in Revenue summary)"/>
    <hyperlink ref="A22" location="'Summary'!D35" display="x17 = Net revenues (£) (in Revenue summary)"/>
    <hyperlink ref="A23" location="'Summary'!C35" display="x18 = MPANs (in Revenue summary)"/>
    <hyperlink ref="A24" location="'Summary'!E35" display="x19 = Revenues from unit rates (£) (in Revenue summary)"/>
    <hyperlink ref="A25" location="'Summary'!M35" display="x20 = Net revenues from unit rate 1 (£) (in Revenue summary)"/>
    <hyperlink ref="A26" location="'Summary'!N35" display="x21 = Net revenues from unit rate 2 (£) (in Revenue summary)"/>
    <hyperlink ref="A27" location="'Summary'!O35" display="x22 = Net revenues from unit rate 3 (£) (in Revenue summary)"/>
    <hyperlink ref="A28" location="'Summary'!F35" display="x23 = Revenues from fixed charges (£) (in Revenue summary)"/>
    <hyperlink ref="A29" location="'Summary'!G35" display="x24 = Revenues from capacity charges (£) (in Revenue summary)"/>
    <hyperlink ref="A30" location="'Summary'!H35" display="x25 = Revenues from exceeded capacity charges (£) (in Revenue summary)"/>
    <hyperlink ref="A31" location="'Summary'!I35" display="x26 = Revenues from reactive power charges (£) (in Revenue summary)"/>
    <hyperlink ref="A148" location="'Summary'!B35" display="x1 = 3801. All units (MWh) (in Revenue summary)"/>
    <hyperlink ref="A149" location="'Summary'!C35" display="x2 = 3801. MPANs (in Revenue summary)"/>
    <hyperlink ref="A150" location="'Summary'!D35" display="x3 = 3801. Net revenues (£) (in Revenue summary)"/>
    <hyperlink ref="A151" location="'Summary'!E35" display="x4 = 3801. Revenues from unit rates (£) (in Revenue summary)"/>
    <hyperlink ref="A152" location="'Summary'!F35" display="x5 = 3801. Revenues from fixed charges (£) (in Revenue summary)"/>
    <hyperlink ref="A153" location="'Summary'!G35" display="x6 = 3801. Revenues from capacity charges (£) (in Revenue summary)"/>
    <hyperlink ref="A154" location="'Summary'!H35" display="x7 = 3801. Revenues from exceeded capacity charges (£) (in Revenue summary)"/>
    <hyperlink ref="A155" location="'Summary'!I35" display="x8 = 3801. Revenues from reactive power charges (£) (in Revenue summary)"/>
  </hyperlinks>
  <pageMargins left="0.7" right="0.7" top="0.75" bottom="0.75" header="0.3" footer="0.3"/>
  <pageSetup paperSize="9" fitToHeight="0" orientation="landscape"/>
  <headerFooter>
    <oddHeader>&amp;L&amp;A&amp;C&amp;R&amp;P of &amp;N</oddHeader>
    <oddFooter>&amp;F</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4564"/>
  <sheetViews>
    <sheetView showGridLines="0" workbookViewId="0">
      <pane xSplit="1" ySplit="1" topLeftCell="B2" activePane="bottomRight" state="frozen"/>
      <selection pane="topRight"/>
      <selection pane="bottomLeft"/>
      <selection pane="bottomRight" activeCell="A4" sqref="A4:K350"/>
    </sheetView>
  </sheetViews>
  <sheetFormatPr defaultColWidth="8.85546875" defaultRowHeight="15"/>
  <cols>
    <col min="1" max="1" width="50.7109375" customWidth="1"/>
    <col min="2" max="251" width="28.7109375" customWidth="1"/>
  </cols>
  <sheetData>
    <row r="1" spans="1:7" ht="21" customHeight="1">
      <c r="A1" s="1" t="str">
        <f>"Input data for "&amp;CDCM!B7&amp;" in "&amp;CDCM!C7&amp;" ("&amp;CDCM!D7&amp;")"</f>
        <v>Input data for 0 in 0 (0)</v>
      </c>
    </row>
    <row r="2" spans="1:7">
      <c r="A2" s="264" t="s">
        <v>1257</v>
      </c>
    </row>
    <row r="4" spans="1:7" ht="21" customHeight="1">
      <c r="A4" s="1" t="s">
        <v>0</v>
      </c>
    </row>
    <row r="5" spans="1:7">
      <c r="A5" t="s">
        <v>224</v>
      </c>
    </row>
    <row r="6" spans="1:7">
      <c r="B6" s="284" t="s">
        <v>1</v>
      </c>
      <c r="C6" s="284" t="s">
        <v>2</v>
      </c>
      <c r="D6" s="284" t="s">
        <v>3</v>
      </c>
    </row>
    <row r="7" spans="1:7">
      <c r="A7" s="285" t="s">
        <v>4</v>
      </c>
      <c r="B7" s="286">
        <v>0</v>
      </c>
      <c r="C7" s="286">
        <v>0</v>
      </c>
      <c r="D7" s="286">
        <v>0</v>
      </c>
      <c r="E7" s="265" t="s">
        <v>224</v>
      </c>
    </row>
    <row r="9" spans="1:7" ht="21" customHeight="1">
      <c r="A9" s="1" t="s">
        <v>7</v>
      </c>
    </row>
    <row r="10" spans="1:7">
      <c r="A10" s="264"/>
    </row>
    <row r="11" spans="1:7">
      <c r="A11" s="264" t="s">
        <v>8</v>
      </c>
    </row>
    <row r="12" spans="1:7">
      <c r="A12" t="s">
        <v>9</v>
      </c>
    </row>
    <row r="13" spans="1:7" ht="30">
      <c r="B13" s="284" t="s">
        <v>10</v>
      </c>
      <c r="C13" s="284" t="s">
        <v>11</v>
      </c>
      <c r="D13" s="284" t="s">
        <v>12</v>
      </c>
      <c r="E13" s="284" t="s">
        <v>13</v>
      </c>
      <c r="F13" s="284" t="s">
        <v>1050</v>
      </c>
    </row>
    <row r="14" spans="1:7">
      <c r="A14" s="285" t="s">
        <v>14</v>
      </c>
      <c r="B14" s="293">
        <v>4.2099999999999999E-2</v>
      </c>
      <c r="C14" s="266">
        <v>40</v>
      </c>
      <c r="D14" s="267"/>
      <c r="E14" s="268">
        <v>0.95</v>
      </c>
      <c r="F14" s="266">
        <v>365</v>
      </c>
      <c r="G14" s="265" t="s">
        <v>224</v>
      </c>
    </row>
    <row r="16" spans="1:7" ht="21" customHeight="1">
      <c r="A16" s="1" t="s">
        <v>15</v>
      </c>
    </row>
    <row r="17" spans="1:3">
      <c r="A17" s="264"/>
    </row>
    <row r="18" spans="1:3">
      <c r="A18" s="264" t="s">
        <v>16</v>
      </c>
    </row>
    <row r="19" spans="1:3">
      <c r="A19" s="264" t="s">
        <v>17</v>
      </c>
    </row>
    <row r="20" spans="1:3">
      <c r="A20" s="264" t="s">
        <v>18</v>
      </c>
    </row>
    <row r="21" spans="1:3">
      <c r="A21" s="264" t="s">
        <v>19</v>
      </c>
    </row>
    <row r="22" spans="1:3">
      <c r="A22" t="s">
        <v>20</v>
      </c>
    </row>
    <row r="23" spans="1:3" ht="45">
      <c r="B23" s="284" t="s">
        <v>21</v>
      </c>
    </row>
    <row r="24" spans="1:3">
      <c r="A24" s="285" t="s">
        <v>22</v>
      </c>
      <c r="B24" s="293">
        <v>2.1999999999999999E-2</v>
      </c>
      <c r="C24" s="265" t="s">
        <v>224</v>
      </c>
    </row>
    <row r="25" spans="1:3">
      <c r="A25" s="285" t="s">
        <v>23</v>
      </c>
      <c r="B25" s="293">
        <v>3.1E-2</v>
      </c>
      <c r="C25" s="265" t="s">
        <v>224</v>
      </c>
    </row>
    <row r="26" spans="1:3">
      <c r="A26" s="285" t="s">
        <v>24</v>
      </c>
      <c r="B26" s="292"/>
      <c r="C26" s="265" t="s">
        <v>224</v>
      </c>
    </row>
    <row r="27" spans="1:3">
      <c r="A27" s="285" t="s">
        <v>25</v>
      </c>
      <c r="B27" s="293">
        <v>7.4999999999999997E-2</v>
      </c>
      <c r="C27" s="265" t="s">
        <v>224</v>
      </c>
    </row>
    <row r="28" spans="1:3">
      <c r="A28" s="285" t="s">
        <v>26</v>
      </c>
      <c r="B28" s="292"/>
      <c r="C28" s="265" t="s">
        <v>224</v>
      </c>
    </row>
    <row r="29" spans="1:3">
      <c r="A29" s="285" t="s">
        <v>27</v>
      </c>
      <c r="B29" s="293">
        <v>0.37</v>
      </c>
      <c r="C29" s="265" t="s">
        <v>224</v>
      </c>
    </row>
    <row r="30" spans="1:3">
      <c r="A30" s="285" t="s">
        <v>28</v>
      </c>
      <c r="B30" s="292"/>
      <c r="C30" s="265" t="s">
        <v>224</v>
      </c>
    </row>
    <row r="31" spans="1:3">
      <c r="A31" s="285" t="s">
        <v>29</v>
      </c>
      <c r="B31" s="292"/>
      <c r="C31" s="265" t="s">
        <v>224</v>
      </c>
    </row>
    <row r="33" spans="1:3" ht="21" customHeight="1">
      <c r="A33" s="1" t="s">
        <v>30</v>
      </c>
    </row>
    <row r="34" spans="1:3">
      <c r="A34" t="s">
        <v>224</v>
      </c>
    </row>
    <row r="35" spans="1:3">
      <c r="B35" s="284" t="s">
        <v>31</v>
      </c>
    </row>
    <row r="36" spans="1:3">
      <c r="A36" s="285" t="s">
        <v>26</v>
      </c>
      <c r="B36" s="293">
        <v>0</v>
      </c>
      <c r="C36" s="265" t="s">
        <v>224</v>
      </c>
    </row>
    <row r="38" spans="1:3" ht="21" customHeight="1">
      <c r="A38" s="1" t="s">
        <v>32</v>
      </c>
    </row>
    <row r="40" spans="1:3" ht="30">
      <c r="B40" s="284" t="s">
        <v>33</v>
      </c>
    </row>
    <row r="41" spans="1:3">
      <c r="A41" s="285" t="s">
        <v>33</v>
      </c>
      <c r="B41" s="266">
        <v>500</v>
      </c>
      <c r="C41" s="265" t="s">
        <v>224</v>
      </c>
    </row>
    <row r="43" spans="1:3" ht="21" customHeight="1">
      <c r="A43" s="1" t="s">
        <v>34</v>
      </c>
    </row>
    <row r="45" spans="1:3">
      <c r="B45" s="284" t="s">
        <v>35</v>
      </c>
    </row>
    <row r="46" spans="1:3">
      <c r="A46" s="285" t="s">
        <v>23</v>
      </c>
      <c r="B46" s="266">
        <v>133443851.77216248</v>
      </c>
      <c r="C46" s="265" t="s">
        <v>224</v>
      </c>
    </row>
    <row r="47" spans="1:3">
      <c r="A47" s="285" t="s">
        <v>24</v>
      </c>
      <c r="B47" s="266">
        <v>18900886.983632807</v>
      </c>
      <c r="C47" s="265" t="s">
        <v>224</v>
      </c>
    </row>
    <row r="48" spans="1:3">
      <c r="A48" s="285" t="s">
        <v>25</v>
      </c>
      <c r="B48" s="266">
        <v>47715232.004847363</v>
      </c>
      <c r="C48" s="265" t="s">
        <v>224</v>
      </c>
    </row>
    <row r="49" spans="1:10">
      <c r="A49" s="285" t="s">
        <v>26</v>
      </c>
      <c r="B49" s="266">
        <v>47956012.623184562</v>
      </c>
      <c r="C49" s="265" t="s">
        <v>224</v>
      </c>
    </row>
    <row r="50" spans="1:10">
      <c r="A50" s="285" t="s">
        <v>31</v>
      </c>
      <c r="B50" s="266">
        <v>0</v>
      </c>
      <c r="C50" s="265" t="s">
        <v>224</v>
      </c>
    </row>
    <row r="51" spans="1:10">
      <c r="A51" s="285" t="s">
        <v>27</v>
      </c>
      <c r="B51" s="266">
        <v>170790894.140659</v>
      </c>
      <c r="C51" s="265" t="s">
        <v>224</v>
      </c>
    </row>
    <row r="52" spans="1:10">
      <c r="A52" s="285" t="s">
        <v>28</v>
      </c>
      <c r="B52" s="266">
        <v>72781314.786402985</v>
      </c>
      <c r="C52" s="265" t="s">
        <v>224</v>
      </c>
    </row>
    <row r="53" spans="1:10">
      <c r="A53" s="285" t="s">
        <v>29</v>
      </c>
      <c r="B53" s="266">
        <v>156315046.67530727</v>
      </c>
      <c r="C53" s="265" t="s">
        <v>224</v>
      </c>
    </row>
    <row r="55" spans="1:10" ht="21" customHeight="1">
      <c r="A55" s="1" t="s">
        <v>36</v>
      </c>
    </row>
    <row r="57" spans="1:10">
      <c r="B57" s="284" t="s">
        <v>37</v>
      </c>
      <c r="C57" s="284" t="s">
        <v>38</v>
      </c>
      <c r="D57" s="284" t="s">
        <v>39</v>
      </c>
      <c r="E57" s="284" t="s">
        <v>40</v>
      </c>
      <c r="F57" s="284" t="s">
        <v>41</v>
      </c>
      <c r="G57" s="284" t="s">
        <v>42</v>
      </c>
      <c r="H57" s="284" t="s">
        <v>43</v>
      </c>
      <c r="I57" s="284" t="s">
        <v>44</v>
      </c>
    </row>
    <row r="58" spans="1:10">
      <c r="A58" s="285" t="s">
        <v>45</v>
      </c>
      <c r="B58" s="266">
        <v>6114.2961058258716</v>
      </c>
      <c r="C58" s="266">
        <v>687.79718183986074</v>
      </c>
      <c r="D58" s="266">
        <v>837.38816869985578</v>
      </c>
      <c r="E58" s="266">
        <v>621.02378639698088</v>
      </c>
      <c r="F58" s="266">
        <v>1411.7252708981218</v>
      </c>
      <c r="G58" s="266">
        <v>1087.3292823736058</v>
      </c>
      <c r="H58" s="266">
        <v>0</v>
      </c>
      <c r="I58" s="266">
        <v>568.679558406311</v>
      </c>
      <c r="J58" s="265" t="s">
        <v>224</v>
      </c>
    </row>
    <row r="60" spans="1:10" ht="21" customHeight="1">
      <c r="A60" s="1" t="s">
        <v>46</v>
      </c>
    </row>
    <row r="62" spans="1:10">
      <c r="B62" s="284" t="s">
        <v>47</v>
      </c>
      <c r="C62" s="284" t="s">
        <v>48</v>
      </c>
      <c r="D62" s="284" t="s">
        <v>49</v>
      </c>
      <c r="E62" s="284" t="s">
        <v>50</v>
      </c>
      <c r="F62" s="284" t="s">
        <v>51</v>
      </c>
    </row>
    <row r="63" spans="1:10">
      <c r="A63" s="285" t="s">
        <v>52</v>
      </c>
      <c r="B63" s="266">
        <v>10787.568180979291</v>
      </c>
      <c r="C63" s="266">
        <v>5201.0510362394189</v>
      </c>
      <c r="D63" s="266">
        <v>0</v>
      </c>
      <c r="E63" s="266">
        <v>0</v>
      </c>
      <c r="F63" s="266">
        <v>0</v>
      </c>
      <c r="G63" s="265" t="s">
        <v>224</v>
      </c>
    </row>
    <row r="65" spans="1:10" ht="21" customHeight="1">
      <c r="A65" s="1" t="s">
        <v>53</v>
      </c>
    </row>
    <row r="66" spans="1:10">
      <c r="B66">
        <v>34</v>
      </c>
      <c r="C66">
        <v>35</v>
      </c>
      <c r="D66">
        <v>36</v>
      </c>
      <c r="E66">
        <v>37</v>
      </c>
      <c r="F66">
        <v>38</v>
      </c>
      <c r="G66">
        <v>39</v>
      </c>
      <c r="H66">
        <v>40</v>
      </c>
      <c r="I66">
        <v>41</v>
      </c>
    </row>
    <row r="67" spans="1:10">
      <c r="B67" s="284" t="s">
        <v>37</v>
      </c>
      <c r="C67" s="284" t="s">
        <v>38</v>
      </c>
      <c r="D67" s="284" t="s">
        <v>39</v>
      </c>
      <c r="E67" s="284" t="s">
        <v>40</v>
      </c>
      <c r="F67" s="284" t="s">
        <v>41</v>
      </c>
      <c r="G67" s="284" t="s">
        <v>42</v>
      </c>
      <c r="H67" s="284" t="s">
        <v>43</v>
      </c>
      <c r="I67" s="284" t="s">
        <v>44</v>
      </c>
    </row>
    <row r="68" spans="1:10">
      <c r="A68" s="285" t="s">
        <v>54</v>
      </c>
      <c r="B68" s="293">
        <v>0.05</v>
      </c>
      <c r="C68" s="293">
        <v>0</v>
      </c>
      <c r="D68" s="293">
        <v>0</v>
      </c>
      <c r="E68" s="293">
        <v>0</v>
      </c>
      <c r="F68" s="293">
        <v>0</v>
      </c>
      <c r="G68" s="293">
        <v>0</v>
      </c>
      <c r="H68" s="293">
        <v>0</v>
      </c>
      <c r="I68" s="293">
        <v>0</v>
      </c>
      <c r="J68" s="265" t="s">
        <v>224</v>
      </c>
    </row>
    <row r="69" spans="1:10">
      <c r="A69" s="285" t="s">
        <v>55</v>
      </c>
      <c r="B69" s="293">
        <v>0.05</v>
      </c>
      <c r="C69" s="293">
        <v>0</v>
      </c>
      <c r="D69" s="293">
        <v>0</v>
      </c>
      <c r="E69" s="293">
        <v>0</v>
      </c>
      <c r="F69" s="293">
        <v>0</v>
      </c>
      <c r="G69" s="293">
        <v>0</v>
      </c>
      <c r="H69" s="293">
        <v>0</v>
      </c>
      <c r="I69" s="293">
        <v>0</v>
      </c>
      <c r="J69" s="265" t="s">
        <v>224</v>
      </c>
    </row>
    <row r="70" spans="1:10">
      <c r="A70" s="285" t="s">
        <v>56</v>
      </c>
      <c r="B70" s="293">
        <v>0</v>
      </c>
      <c r="C70" s="293">
        <v>1</v>
      </c>
      <c r="D70" s="293">
        <v>0</v>
      </c>
      <c r="E70" s="293">
        <v>0</v>
      </c>
      <c r="F70" s="293">
        <v>0</v>
      </c>
      <c r="G70" s="293">
        <v>0</v>
      </c>
      <c r="H70" s="293">
        <v>0</v>
      </c>
      <c r="I70" s="293">
        <v>0</v>
      </c>
      <c r="J70" s="265" t="s">
        <v>224</v>
      </c>
    </row>
    <row r="71" spans="1:10">
      <c r="A71" s="285" t="s">
        <v>57</v>
      </c>
      <c r="B71" s="293">
        <v>0</v>
      </c>
      <c r="C71" s="293">
        <v>1</v>
      </c>
      <c r="D71" s="293">
        <v>0</v>
      </c>
      <c r="E71" s="293">
        <v>0</v>
      </c>
      <c r="F71" s="293">
        <v>0</v>
      </c>
      <c r="G71" s="293">
        <v>0</v>
      </c>
      <c r="H71" s="293">
        <v>0</v>
      </c>
      <c r="I71" s="293">
        <v>0</v>
      </c>
      <c r="J71" s="265" t="s">
        <v>224</v>
      </c>
    </row>
    <row r="72" spans="1:10">
      <c r="A72" s="285" t="s">
        <v>58</v>
      </c>
      <c r="B72" s="293">
        <v>0</v>
      </c>
      <c r="C72" s="293">
        <v>0</v>
      </c>
      <c r="D72" s="293">
        <v>1</v>
      </c>
      <c r="E72" s="293">
        <v>0</v>
      </c>
      <c r="F72" s="293">
        <v>0</v>
      </c>
      <c r="G72" s="293">
        <v>0</v>
      </c>
      <c r="H72" s="293">
        <v>0</v>
      </c>
      <c r="I72" s="293">
        <v>0</v>
      </c>
      <c r="J72" s="265"/>
    </row>
    <row r="73" spans="1:10">
      <c r="A73" s="285" t="s">
        <v>59</v>
      </c>
      <c r="B73" s="293">
        <v>0</v>
      </c>
      <c r="C73" s="293">
        <v>0</v>
      </c>
      <c r="D73" s="293">
        <v>0</v>
      </c>
      <c r="E73" s="293">
        <v>1</v>
      </c>
      <c r="F73" s="293">
        <v>0</v>
      </c>
      <c r="G73" s="293">
        <v>0</v>
      </c>
      <c r="H73" s="293">
        <v>0</v>
      </c>
      <c r="I73" s="293">
        <v>0</v>
      </c>
      <c r="J73" s="265"/>
    </row>
    <row r="74" spans="1:10">
      <c r="A74" s="285" t="s">
        <v>1178</v>
      </c>
      <c r="B74" s="293">
        <v>0.05</v>
      </c>
      <c r="C74" s="293">
        <v>0</v>
      </c>
      <c r="D74" s="293">
        <v>0</v>
      </c>
      <c r="E74" s="293">
        <v>0</v>
      </c>
      <c r="F74" s="293">
        <v>0</v>
      </c>
      <c r="G74" s="293">
        <v>0</v>
      </c>
      <c r="H74" s="293">
        <v>0</v>
      </c>
      <c r="I74" s="293">
        <v>0</v>
      </c>
      <c r="J74" s="265" t="s">
        <v>224</v>
      </c>
    </row>
    <row r="75" spans="1:10">
      <c r="A75" s="285" t="s">
        <v>1177</v>
      </c>
      <c r="B75" s="293">
        <v>0</v>
      </c>
      <c r="C75" s="293">
        <v>1</v>
      </c>
      <c r="D75" s="293">
        <v>0</v>
      </c>
      <c r="E75" s="293">
        <v>0</v>
      </c>
      <c r="F75" s="293">
        <v>0</v>
      </c>
      <c r="G75" s="293">
        <v>0</v>
      </c>
      <c r="H75" s="293">
        <v>0</v>
      </c>
      <c r="I75" s="293">
        <v>0</v>
      </c>
      <c r="J75" s="265" t="s">
        <v>224</v>
      </c>
    </row>
    <row r="76" spans="1:10">
      <c r="A76" s="285" t="s">
        <v>60</v>
      </c>
      <c r="B76" s="293">
        <v>0</v>
      </c>
      <c r="C76" s="293">
        <v>0</v>
      </c>
      <c r="D76" s="293">
        <v>0</v>
      </c>
      <c r="E76" s="293">
        <v>0</v>
      </c>
      <c r="F76" s="293">
        <v>1</v>
      </c>
      <c r="G76" s="293">
        <v>0</v>
      </c>
      <c r="H76" s="293">
        <v>0</v>
      </c>
      <c r="I76" s="293">
        <v>0</v>
      </c>
      <c r="J76" s="265" t="s">
        <v>224</v>
      </c>
    </row>
    <row r="77" spans="1:10">
      <c r="A77" s="285" t="s">
        <v>61</v>
      </c>
      <c r="B77" s="293">
        <v>0</v>
      </c>
      <c r="C77" s="293">
        <v>0</v>
      </c>
      <c r="D77" s="293">
        <v>0</v>
      </c>
      <c r="E77" s="293">
        <v>0</v>
      </c>
      <c r="F77" s="293">
        <v>0</v>
      </c>
      <c r="G77" s="293">
        <v>1</v>
      </c>
      <c r="H77" s="293">
        <v>0</v>
      </c>
      <c r="I77" s="293">
        <v>0</v>
      </c>
      <c r="J77" s="265" t="s">
        <v>224</v>
      </c>
    </row>
    <row r="78" spans="1:10">
      <c r="A78" s="285" t="s">
        <v>1176</v>
      </c>
      <c r="B78" s="293">
        <v>0</v>
      </c>
      <c r="C78" s="293">
        <v>0</v>
      </c>
      <c r="D78" s="293">
        <v>0</v>
      </c>
      <c r="E78" s="293">
        <v>0</v>
      </c>
      <c r="F78" s="293">
        <v>0</v>
      </c>
      <c r="G78" s="293">
        <v>0</v>
      </c>
      <c r="H78" s="293">
        <v>1</v>
      </c>
      <c r="I78" s="293">
        <v>0</v>
      </c>
      <c r="J78" s="265" t="s">
        <v>224</v>
      </c>
    </row>
    <row r="79" spans="1:10">
      <c r="A79" s="285" t="s">
        <v>62</v>
      </c>
      <c r="B79" s="293">
        <v>0</v>
      </c>
      <c r="C79" s="293">
        <v>0</v>
      </c>
      <c r="D79" s="293">
        <v>0</v>
      </c>
      <c r="E79" s="293">
        <v>0</v>
      </c>
      <c r="F79" s="293">
        <v>0</v>
      </c>
      <c r="G79" s="293">
        <v>0</v>
      </c>
      <c r="H79" s="293">
        <v>1</v>
      </c>
      <c r="I79" s="293">
        <v>0</v>
      </c>
      <c r="J79" s="265" t="s">
        <v>224</v>
      </c>
    </row>
    <row r="80" spans="1:10">
      <c r="A80" s="285" t="s">
        <v>63</v>
      </c>
      <c r="B80" s="293">
        <v>0</v>
      </c>
      <c r="C80" s="293">
        <v>0</v>
      </c>
      <c r="D80" s="293">
        <v>0</v>
      </c>
      <c r="E80" s="293">
        <v>0</v>
      </c>
      <c r="F80" s="293">
        <v>0</v>
      </c>
      <c r="G80" s="293">
        <v>0</v>
      </c>
      <c r="H80" s="293">
        <v>1</v>
      </c>
      <c r="I80" s="293">
        <v>0</v>
      </c>
      <c r="J80" s="265" t="s">
        <v>224</v>
      </c>
    </row>
    <row r="81" spans="1:10">
      <c r="A81" s="285" t="s">
        <v>1516</v>
      </c>
      <c r="B81" s="293">
        <v>0</v>
      </c>
      <c r="C81" s="293">
        <v>0</v>
      </c>
      <c r="D81" s="293">
        <v>0</v>
      </c>
      <c r="E81" s="293">
        <v>0</v>
      </c>
      <c r="F81" s="293">
        <v>0</v>
      </c>
      <c r="G81" s="293">
        <v>0</v>
      </c>
      <c r="H81" s="293">
        <v>1</v>
      </c>
      <c r="I81" s="293">
        <v>0</v>
      </c>
      <c r="J81" s="265" t="s">
        <v>224</v>
      </c>
    </row>
    <row r="82" spans="1:10">
      <c r="A82" s="285" t="s">
        <v>64</v>
      </c>
      <c r="B82" s="293">
        <v>0</v>
      </c>
      <c r="C82" s="293">
        <v>0</v>
      </c>
      <c r="D82" s="293">
        <v>0</v>
      </c>
      <c r="E82" s="293">
        <v>0</v>
      </c>
      <c r="F82" s="293">
        <v>0</v>
      </c>
      <c r="G82" s="293">
        <v>0</v>
      </c>
      <c r="H82" s="293">
        <v>0</v>
      </c>
      <c r="I82" s="293">
        <v>0</v>
      </c>
      <c r="J82" s="265" t="s">
        <v>224</v>
      </c>
    </row>
    <row r="83" spans="1:10">
      <c r="A83" s="285" t="s">
        <v>1517</v>
      </c>
      <c r="B83" s="293">
        <v>0</v>
      </c>
      <c r="C83" s="293">
        <v>0</v>
      </c>
      <c r="D83" s="293">
        <v>0</v>
      </c>
      <c r="E83" s="293">
        <v>0</v>
      </c>
      <c r="F83" s="293">
        <v>0</v>
      </c>
      <c r="G83" s="293">
        <v>0</v>
      </c>
      <c r="H83" s="293">
        <v>0</v>
      </c>
      <c r="I83" s="293">
        <v>0</v>
      </c>
      <c r="J83" s="265"/>
    </row>
    <row r="84" spans="1:10">
      <c r="A84" s="285" t="s">
        <v>65</v>
      </c>
      <c r="B84" s="293">
        <v>0</v>
      </c>
      <c r="C84" s="293">
        <v>0</v>
      </c>
      <c r="D84" s="293">
        <v>0</v>
      </c>
      <c r="E84" s="293">
        <v>0</v>
      </c>
      <c r="F84" s="293">
        <v>0</v>
      </c>
      <c r="G84" s="293">
        <v>0</v>
      </c>
      <c r="H84" s="293">
        <v>0</v>
      </c>
      <c r="I84" s="293">
        <v>0</v>
      </c>
      <c r="J84" s="265"/>
    </row>
    <row r="85" spans="1:10">
      <c r="A85" s="285" t="s">
        <v>1518</v>
      </c>
      <c r="B85" s="293">
        <v>0</v>
      </c>
      <c r="C85" s="293">
        <v>0</v>
      </c>
      <c r="D85" s="293">
        <v>0</v>
      </c>
      <c r="E85" s="293">
        <v>0</v>
      </c>
      <c r="F85" s="293">
        <v>0</v>
      </c>
      <c r="G85" s="293">
        <v>0</v>
      </c>
      <c r="H85" s="293">
        <v>0</v>
      </c>
      <c r="I85" s="293">
        <v>0</v>
      </c>
      <c r="J85" s="265"/>
    </row>
    <row r="86" spans="1:10">
      <c r="A86" s="285" t="s">
        <v>66</v>
      </c>
      <c r="B86" s="293">
        <v>0</v>
      </c>
      <c r="C86" s="293">
        <v>0</v>
      </c>
      <c r="D86" s="293">
        <v>0</v>
      </c>
      <c r="E86" s="293">
        <v>0</v>
      </c>
      <c r="F86" s="293">
        <v>0</v>
      </c>
      <c r="G86" s="293">
        <v>0</v>
      </c>
      <c r="H86" s="293">
        <v>0</v>
      </c>
      <c r="I86" s="293">
        <v>0</v>
      </c>
      <c r="J86" s="265"/>
    </row>
    <row r="87" spans="1:10">
      <c r="A87" s="285" t="s">
        <v>1519</v>
      </c>
      <c r="B87" s="293">
        <v>0</v>
      </c>
      <c r="C87" s="293">
        <v>0</v>
      </c>
      <c r="D87" s="293">
        <v>0</v>
      </c>
      <c r="E87" s="293">
        <v>0</v>
      </c>
      <c r="F87" s="293">
        <v>0</v>
      </c>
      <c r="G87" s="293">
        <v>0</v>
      </c>
      <c r="H87" s="293">
        <v>0</v>
      </c>
      <c r="I87" s="293">
        <v>0</v>
      </c>
      <c r="J87" s="265" t="s">
        <v>224</v>
      </c>
    </row>
    <row r="89" spans="1:10" ht="21" customHeight="1">
      <c r="A89" s="1" t="s">
        <v>67</v>
      </c>
    </row>
    <row r="90" spans="1:10">
      <c r="A90" s="264"/>
    </row>
    <row r="91" spans="1:10">
      <c r="A91" s="264" t="s">
        <v>68</v>
      </c>
    </row>
    <row r="92" spans="1:10">
      <c r="A92" t="s">
        <v>69</v>
      </c>
    </row>
    <row r="93" spans="1:10">
      <c r="B93" s="284" t="s">
        <v>37</v>
      </c>
      <c r="C93" s="284" t="s">
        <v>38</v>
      </c>
      <c r="D93" s="284" t="s">
        <v>39</v>
      </c>
      <c r="E93" s="284" t="s">
        <v>40</v>
      </c>
      <c r="F93" s="284" t="s">
        <v>41</v>
      </c>
      <c r="G93" s="284" t="s">
        <v>42</v>
      </c>
      <c r="H93" s="284" t="s">
        <v>43</v>
      </c>
      <c r="I93" s="284" t="s">
        <v>44</v>
      </c>
    </row>
    <row r="94" spans="1:10">
      <c r="A94" s="285" t="s">
        <v>70</v>
      </c>
      <c r="B94" s="268">
        <v>0</v>
      </c>
      <c r="C94" s="268">
        <v>0</v>
      </c>
      <c r="D94" s="268">
        <v>0</v>
      </c>
      <c r="E94" s="268">
        <v>0</v>
      </c>
      <c r="F94" s="268">
        <v>0</v>
      </c>
      <c r="G94" s="268">
        <v>0</v>
      </c>
      <c r="H94" s="268">
        <v>0</v>
      </c>
      <c r="I94" s="268">
        <v>0.48799999999999999</v>
      </c>
      <c r="J94" s="265" t="s">
        <v>224</v>
      </c>
    </row>
    <row r="96" spans="1:10" ht="21" customHeight="1">
      <c r="A96" s="1" t="s">
        <v>71</v>
      </c>
    </row>
    <row r="97" spans="1:9">
      <c r="B97">
        <v>22</v>
      </c>
      <c r="C97">
        <v>23</v>
      </c>
      <c r="D97">
        <v>24</v>
      </c>
      <c r="E97">
        <v>25</v>
      </c>
      <c r="F97">
        <v>26</v>
      </c>
    </row>
    <row r="98" spans="1:9">
      <c r="B98" s="284" t="s">
        <v>47</v>
      </c>
      <c r="C98" s="284" t="s">
        <v>48</v>
      </c>
      <c r="D98" s="284" t="s">
        <v>49</v>
      </c>
      <c r="E98" s="284" t="s">
        <v>50</v>
      </c>
      <c r="F98" s="284" t="s">
        <v>51</v>
      </c>
    </row>
    <row r="99" spans="1:9">
      <c r="A99" s="285" t="s">
        <v>72</v>
      </c>
      <c r="B99" s="293">
        <v>1</v>
      </c>
      <c r="C99" s="293">
        <v>0</v>
      </c>
      <c r="D99" s="293">
        <v>0</v>
      </c>
      <c r="E99" s="293">
        <v>0</v>
      </c>
      <c r="F99" s="293">
        <v>0</v>
      </c>
      <c r="G99" s="265" t="s">
        <v>224</v>
      </c>
    </row>
    <row r="100" spans="1:9">
      <c r="A100" s="285" t="s">
        <v>73</v>
      </c>
      <c r="B100" s="293">
        <v>1</v>
      </c>
      <c r="C100" s="293">
        <v>0</v>
      </c>
      <c r="D100" s="293">
        <v>0</v>
      </c>
      <c r="E100" s="293">
        <v>0</v>
      </c>
      <c r="F100" s="293">
        <v>0</v>
      </c>
      <c r="G100" s="265" t="s">
        <v>224</v>
      </c>
    </row>
    <row r="101" spans="1:9">
      <c r="A101" s="285" t="s">
        <v>74</v>
      </c>
      <c r="B101" s="293">
        <v>0</v>
      </c>
      <c r="C101" s="293">
        <v>1</v>
      </c>
      <c r="D101" s="293">
        <v>0</v>
      </c>
      <c r="E101" s="293">
        <v>0</v>
      </c>
      <c r="F101" s="293">
        <v>0</v>
      </c>
      <c r="G101" s="265"/>
    </row>
    <row r="102" spans="1:9">
      <c r="A102" s="285" t="s">
        <v>1520</v>
      </c>
      <c r="B102" s="293">
        <v>0</v>
      </c>
      <c r="C102" s="293">
        <v>1</v>
      </c>
      <c r="D102" s="293">
        <v>0</v>
      </c>
      <c r="E102" s="293">
        <v>0</v>
      </c>
      <c r="F102" s="293">
        <v>0</v>
      </c>
      <c r="G102" s="265"/>
    </row>
    <row r="103" spans="1:9">
      <c r="A103" s="285" t="s">
        <v>75</v>
      </c>
      <c r="B103" s="293">
        <v>0</v>
      </c>
      <c r="C103" s="293">
        <v>1</v>
      </c>
      <c r="D103" s="293">
        <v>0</v>
      </c>
      <c r="E103" s="293">
        <v>0</v>
      </c>
      <c r="F103" s="293">
        <v>0</v>
      </c>
      <c r="G103" s="265"/>
    </row>
    <row r="104" spans="1:9">
      <c r="A104" s="285" t="s">
        <v>1521</v>
      </c>
      <c r="B104" s="293">
        <v>0</v>
      </c>
      <c r="C104" s="293">
        <v>1</v>
      </c>
      <c r="D104" s="293">
        <v>0</v>
      </c>
      <c r="E104" s="293">
        <v>0</v>
      </c>
      <c r="F104" s="293">
        <v>0</v>
      </c>
      <c r="G104" s="265"/>
    </row>
    <row r="106" spans="1:9" ht="21" customHeight="1">
      <c r="A106" s="1" t="s">
        <v>76</v>
      </c>
    </row>
    <row r="107" spans="1:9">
      <c r="A107" s="264" t="s">
        <v>224</v>
      </c>
    </row>
    <row r="108" spans="1:9">
      <c r="A108" t="s">
        <v>77</v>
      </c>
    </row>
    <row r="109" spans="1:9">
      <c r="B109" s="284" t="s">
        <v>23</v>
      </c>
      <c r="C109" s="284" t="s">
        <v>24</v>
      </c>
      <c r="D109" s="284" t="s">
        <v>25</v>
      </c>
      <c r="E109" s="284" t="s">
        <v>26</v>
      </c>
      <c r="F109" s="284" t="s">
        <v>27</v>
      </c>
      <c r="G109" s="284" t="s">
        <v>28</v>
      </c>
      <c r="H109" s="284" t="s">
        <v>29</v>
      </c>
    </row>
    <row r="110" spans="1:9">
      <c r="A110" s="285" t="s">
        <v>78</v>
      </c>
      <c r="B110" s="268">
        <v>1.002</v>
      </c>
      <c r="C110" s="268">
        <v>1.006</v>
      </c>
      <c r="D110" s="268">
        <v>1.012</v>
      </c>
      <c r="E110" s="268">
        <v>1.0209999999999999</v>
      </c>
      <c r="F110" s="268">
        <v>1.038</v>
      </c>
      <c r="G110" s="268">
        <v>1.0489999999999999</v>
      </c>
      <c r="H110" s="268">
        <v>1.0620000000000001</v>
      </c>
      <c r="I110" s="265" t="s">
        <v>224</v>
      </c>
    </row>
    <row r="112" spans="1:9" ht="21" customHeight="1">
      <c r="A112" s="1" t="s">
        <v>79</v>
      </c>
    </row>
    <row r="113" spans="1:7">
      <c r="A113" s="264" t="s">
        <v>224</v>
      </c>
    </row>
    <row r="114" spans="1:7">
      <c r="A114" t="s">
        <v>80</v>
      </c>
    </row>
    <row r="115" spans="1:7">
      <c r="B115" s="284" t="s">
        <v>81</v>
      </c>
      <c r="C115" s="284" t="s">
        <v>82</v>
      </c>
      <c r="D115" s="284" t="s">
        <v>83</v>
      </c>
      <c r="E115" s="284" t="s">
        <v>84</v>
      </c>
      <c r="F115" s="284" t="s">
        <v>85</v>
      </c>
    </row>
    <row r="116" spans="1:7">
      <c r="A116" s="285" t="s">
        <v>86</v>
      </c>
      <c r="B116" s="292"/>
      <c r="C116" s="293">
        <v>0.37267999985613431</v>
      </c>
      <c r="D116" s="293">
        <v>0.6188090826390088</v>
      </c>
      <c r="E116" s="293">
        <v>0.3749541673400224</v>
      </c>
      <c r="F116" s="293">
        <v>0.25863289422864333</v>
      </c>
      <c r="G116" s="265" t="s">
        <v>224</v>
      </c>
    </row>
    <row r="118" spans="1:7" ht="21" customHeight="1">
      <c r="A118" s="1" t="s">
        <v>87</v>
      </c>
    </row>
    <row r="119" spans="1:7">
      <c r="A119" s="264"/>
    </row>
    <row r="120" spans="1:7">
      <c r="A120" t="s">
        <v>88</v>
      </c>
    </row>
    <row r="121" spans="1:7">
      <c r="B121" s="284" t="s">
        <v>89</v>
      </c>
      <c r="C121" s="284" t="s">
        <v>90</v>
      </c>
    </row>
    <row r="122" spans="1:7">
      <c r="A122" s="285" t="s">
        <v>54</v>
      </c>
      <c r="B122" s="268">
        <v>0.9161200130357342</v>
      </c>
      <c r="C122" s="268">
        <v>0.41794848731992928</v>
      </c>
      <c r="D122" s="265" t="s">
        <v>224</v>
      </c>
    </row>
    <row r="123" spans="1:7">
      <c r="A123" s="285" t="s">
        <v>55</v>
      </c>
      <c r="B123" s="268">
        <v>0.34251063480316429</v>
      </c>
      <c r="C123" s="268">
        <v>0.25787268553133197</v>
      </c>
      <c r="D123" s="265" t="s">
        <v>224</v>
      </c>
    </row>
    <row r="124" spans="1:7">
      <c r="A124" s="285" t="s">
        <v>91</v>
      </c>
      <c r="B124" s="292"/>
      <c r="C124" s="268">
        <v>0.14408187510851836</v>
      </c>
      <c r="D124" s="265" t="s">
        <v>224</v>
      </c>
    </row>
    <row r="125" spans="1:7">
      <c r="A125" s="285" t="s">
        <v>56</v>
      </c>
      <c r="B125" s="268">
        <v>0.63581024857807822</v>
      </c>
      <c r="C125" s="268">
        <v>0.39168322631991553</v>
      </c>
      <c r="D125" s="265" t="s">
        <v>224</v>
      </c>
    </row>
    <row r="126" spans="1:7">
      <c r="A126" s="285" t="s">
        <v>57</v>
      </c>
      <c r="B126" s="268">
        <v>0.58840544954710228</v>
      </c>
      <c r="C126" s="268">
        <v>0.4286725135799398</v>
      </c>
      <c r="D126" s="265" t="s">
        <v>224</v>
      </c>
    </row>
    <row r="127" spans="1:7">
      <c r="A127" s="285" t="s">
        <v>92</v>
      </c>
      <c r="B127" s="292"/>
      <c r="C127" s="268">
        <v>0.15294404542816803</v>
      </c>
      <c r="D127" s="265" t="s">
        <v>224</v>
      </c>
    </row>
    <row r="128" spans="1:7">
      <c r="A128" s="285" t="s">
        <v>58</v>
      </c>
      <c r="B128" s="268">
        <v>0.85855132048386718</v>
      </c>
      <c r="C128" s="268">
        <v>0.59360150796757727</v>
      </c>
      <c r="D128" s="265" t="s">
        <v>224</v>
      </c>
    </row>
    <row r="129" spans="1:8">
      <c r="A129" s="285" t="s">
        <v>59</v>
      </c>
      <c r="B129" s="268">
        <v>0.83823141723685424</v>
      </c>
      <c r="C129" s="268">
        <v>0.60009005575416807</v>
      </c>
      <c r="D129" s="265" t="s">
        <v>224</v>
      </c>
    </row>
    <row r="130" spans="1:8">
      <c r="A130" s="285" t="s">
        <v>72</v>
      </c>
      <c r="B130" s="268">
        <v>0.6632207801144262</v>
      </c>
      <c r="C130" s="268">
        <v>0.45490842079580179</v>
      </c>
      <c r="D130" s="265" t="s">
        <v>224</v>
      </c>
    </row>
    <row r="131" spans="1:8">
      <c r="A131" s="285" t="s">
        <v>1178</v>
      </c>
      <c r="B131" s="268">
        <v>0.82598957531386852</v>
      </c>
      <c r="C131" s="268">
        <v>0.38999288958750616</v>
      </c>
      <c r="D131" s="265" t="s">
        <v>224</v>
      </c>
    </row>
    <row r="132" spans="1:8">
      <c r="A132" s="285" t="s">
        <v>1177</v>
      </c>
      <c r="B132" s="268">
        <v>0.62627960493623358</v>
      </c>
      <c r="C132" s="268">
        <v>0.39304953059499698</v>
      </c>
      <c r="D132" s="265" t="s">
        <v>224</v>
      </c>
    </row>
    <row r="133" spans="1:8">
      <c r="A133" s="285" t="s">
        <v>60</v>
      </c>
      <c r="B133" s="268">
        <v>0.80328789495257791</v>
      </c>
      <c r="C133" s="268">
        <v>0.58758032453585229</v>
      </c>
      <c r="D133" s="265" t="s">
        <v>224</v>
      </c>
    </row>
    <row r="134" spans="1:8">
      <c r="A134" s="285" t="s">
        <v>61</v>
      </c>
      <c r="B134" s="268">
        <v>0.76581938451320009</v>
      </c>
      <c r="C134" s="268">
        <v>0.6115171758902811</v>
      </c>
      <c r="D134" s="265"/>
    </row>
    <row r="135" spans="1:8">
      <c r="A135" s="285" t="s">
        <v>73</v>
      </c>
      <c r="B135" s="268">
        <v>0.8005762642301345</v>
      </c>
      <c r="C135" s="268">
        <v>0.72287194628784801</v>
      </c>
      <c r="D135" s="265"/>
    </row>
    <row r="136" spans="1:8">
      <c r="A136" s="285" t="s">
        <v>93</v>
      </c>
      <c r="B136" s="268">
        <v>1</v>
      </c>
      <c r="C136" s="268">
        <v>1</v>
      </c>
      <c r="D136" s="265" t="s">
        <v>224</v>
      </c>
    </row>
    <row r="137" spans="1:8">
      <c r="A137" s="285" t="s">
        <v>94</v>
      </c>
      <c r="B137" s="268">
        <v>0.98387596899224805</v>
      </c>
      <c r="C137" s="268">
        <v>0.47495478910775929</v>
      </c>
      <c r="D137" s="265"/>
    </row>
    <row r="138" spans="1:8">
      <c r="A138" s="285" t="s">
        <v>95</v>
      </c>
      <c r="B138" s="268">
        <v>0.88050584275830202</v>
      </c>
      <c r="C138" s="268">
        <v>0.24631614975022856</v>
      </c>
      <c r="D138" s="265"/>
    </row>
    <row r="139" spans="1:8">
      <c r="A139" s="285" t="s">
        <v>96</v>
      </c>
      <c r="B139" s="268">
        <v>0</v>
      </c>
      <c r="C139" s="268">
        <v>0.51526593887289751</v>
      </c>
      <c r="D139" s="265"/>
    </row>
    <row r="140" spans="1:8">
      <c r="A140" s="285" t="s">
        <v>97</v>
      </c>
      <c r="B140" s="268">
        <v>0.97137455011863161</v>
      </c>
      <c r="C140" s="268">
        <v>0.45549294344669516</v>
      </c>
      <c r="D140" s="265" t="s">
        <v>224</v>
      </c>
    </row>
    <row r="142" spans="1:8" ht="21" customHeight="1">
      <c r="A142" s="1" t="s">
        <v>98</v>
      </c>
    </row>
    <row r="143" spans="1:8">
      <c r="A143" s="264" t="s">
        <v>224</v>
      </c>
      <c r="B143">
        <v>32</v>
      </c>
      <c r="C143">
        <v>33</v>
      </c>
      <c r="D143">
        <v>34</v>
      </c>
      <c r="E143">
        <v>35</v>
      </c>
      <c r="F143">
        <v>36</v>
      </c>
      <c r="G143">
        <v>37</v>
      </c>
      <c r="H143">
        <v>38</v>
      </c>
    </row>
    <row r="144" spans="1:8">
      <c r="A144" s="264" t="s">
        <v>99</v>
      </c>
    </row>
    <row r="145" spans="1:9">
      <c r="A145" s="264" t="s">
        <v>100</v>
      </c>
    </row>
    <row r="146" spans="1:9">
      <c r="A146" t="s">
        <v>101</v>
      </c>
    </row>
    <row r="147" spans="1:9">
      <c r="B147" s="284" t="s">
        <v>102</v>
      </c>
      <c r="C147" s="284" t="s">
        <v>103</v>
      </c>
      <c r="D147" s="284" t="s">
        <v>104</v>
      </c>
      <c r="E147" s="284" t="s">
        <v>105</v>
      </c>
      <c r="F147" s="284" t="s">
        <v>106</v>
      </c>
      <c r="G147" s="284" t="s">
        <v>1569</v>
      </c>
      <c r="H147" s="284" t="s">
        <v>107</v>
      </c>
    </row>
    <row r="148" spans="1:9">
      <c r="A148" s="288" t="s">
        <v>108</v>
      </c>
      <c r="B148" s="290">
        <v>0</v>
      </c>
      <c r="C148" s="290">
        <v>0</v>
      </c>
      <c r="D148" s="290">
        <v>0</v>
      </c>
      <c r="E148" s="290">
        <v>0</v>
      </c>
      <c r="F148" s="290">
        <v>0</v>
      </c>
      <c r="G148" s="290"/>
      <c r="H148" s="290">
        <v>0</v>
      </c>
      <c r="I148" s="265"/>
    </row>
    <row r="149" spans="1:9">
      <c r="A149" s="285" t="s">
        <v>54</v>
      </c>
      <c r="B149" s="266">
        <v>4308328.1799358893</v>
      </c>
      <c r="C149" s="292"/>
      <c r="D149" s="292"/>
      <c r="E149" s="266">
        <v>1249039.053009829</v>
      </c>
      <c r="F149" s="292"/>
      <c r="G149" s="292"/>
      <c r="H149" s="292"/>
      <c r="I149" s="265"/>
    </row>
    <row r="150" spans="1:9">
      <c r="A150" s="285" t="s">
        <v>109</v>
      </c>
      <c r="B150" s="266">
        <v>17317.244984043104</v>
      </c>
      <c r="C150" s="292"/>
      <c r="D150" s="292"/>
      <c r="E150" s="266">
        <v>6432.4704020547961</v>
      </c>
      <c r="F150" s="292"/>
      <c r="G150" s="292"/>
      <c r="H150" s="292"/>
      <c r="I150" s="265"/>
    </row>
    <row r="151" spans="1:9">
      <c r="A151" s="285" t="s">
        <v>110</v>
      </c>
      <c r="B151" s="266">
        <v>30359.986233439653</v>
      </c>
      <c r="C151" s="292"/>
      <c r="D151" s="292"/>
      <c r="E151" s="266">
        <v>11844.01251369863</v>
      </c>
      <c r="F151" s="292"/>
      <c r="G151" s="292"/>
      <c r="H151" s="292"/>
      <c r="I151" s="265"/>
    </row>
    <row r="152" spans="1:9">
      <c r="A152" s="288" t="s">
        <v>111</v>
      </c>
      <c r="B152" s="290"/>
      <c r="C152" s="290"/>
      <c r="D152" s="290"/>
      <c r="E152" s="290"/>
      <c r="F152" s="290"/>
      <c r="G152" s="290"/>
      <c r="H152" s="290"/>
      <c r="I152" s="265"/>
    </row>
    <row r="153" spans="1:9">
      <c r="A153" s="285" t="s">
        <v>55</v>
      </c>
      <c r="B153" s="266">
        <v>607941.0703076917</v>
      </c>
      <c r="C153" s="266">
        <v>664320.74235178798</v>
      </c>
      <c r="D153" s="292"/>
      <c r="E153" s="266">
        <v>209037.51452636323</v>
      </c>
      <c r="F153" s="292"/>
      <c r="G153" s="292"/>
      <c r="H153" s="292"/>
      <c r="I153" s="265"/>
    </row>
    <row r="154" spans="1:9">
      <c r="A154" s="285" t="s">
        <v>112</v>
      </c>
      <c r="B154" s="266">
        <v>996.33454580172418</v>
      </c>
      <c r="C154" s="266">
        <v>464.31544950000011</v>
      </c>
      <c r="D154" s="292"/>
      <c r="E154" s="266">
        <v>424.57848904109591</v>
      </c>
      <c r="F154" s="292"/>
      <c r="G154" s="292"/>
      <c r="H154" s="292"/>
      <c r="I154" s="265"/>
    </row>
    <row r="155" spans="1:9">
      <c r="A155" s="285" t="s">
        <v>113</v>
      </c>
      <c r="B155" s="266">
        <v>958.18848680172437</v>
      </c>
      <c r="C155" s="266">
        <v>407.95688506034486</v>
      </c>
      <c r="D155" s="292"/>
      <c r="E155" s="266">
        <v>368.39690136986303</v>
      </c>
      <c r="F155" s="292"/>
      <c r="G155" s="292"/>
      <c r="H155" s="292"/>
      <c r="I155" s="265"/>
    </row>
    <row r="156" spans="1:9">
      <c r="A156" s="288" t="s">
        <v>114</v>
      </c>
      <c r="B156" s="290"/>
      <c r="C156" s="290"/>
      <c r="D156" s="290"/>
      <c r="E156" s="290"/>
      <c r="F156" s="290"/>
      <c r="G156" s="290"/>
      <c r="H156" s="290"/>
      <c r="I156" s="265"/>
    </row>
    <row r="157" spans="1:9">
      <c r="A157" s="285" t="s">
        <v>91</v>
      </c>
      <c r="B157" s="266">
        <v>45959.708361578618</v>
      </c>
      <c r="C157" s="292"/>
      <c r="D157" s="292"/>
      <c r="E157" s="266">
        <v>15622</v>
      </c>
      <c r="F157" s="292"/>
      <c r="G157" s="292"/>
      <c r="H157" s="292"/>
      <c r="I157" s="265"/>
    </row>
    <row r="158" spans="1:9">
      <c r="A158" s="285" t="s">
        <v>115</v>
      </c>
      <c r="B158" s="266">
        <v>0</v>
      </c>
      <c r="C158" s="292"/>
      <c r="D158" s="292"/>
      <c r="E158" s="266">
        <v>0</v>
      </c>
      <c r="F158" s="292"/>
      <c r="G158" s="292"/>
      <c r="H158" s="292"/>
      <c r="I158" s="265"/>
    </row>
    <row r="159" spans="1:9">
      <c r="A159" s="285" t="s">
        <v>116</v>
      </c>
      <c r="B159" s="266">
        <v>0</v>
      </c>
      <c r="C159" s="292"/>
      <c r="D159" s="292"/>
      <c r="E159" s="266">
        <v>0</v>
      </c>
      <c r="F159" s="292"/>
      <c r="G159" s="292"/>
      <c r="H159" s="292"/>
      <c r="I159" s="265"/>
    </row>
    <row r="160" spans="1:9">
      <c r="A160" s="288" t="s">
        <v>117</v>
      </c>
      <c r="B160" s="290"/>
      <c r="C160" s="290"/>
      <c r="D160" s="290"/>
      <c r="E160" s="290"/>
      <c r="F160" s="290"/>
      <c r="G160" s="290"/>
      <c r="H160" s="290"/>
      <c r="I160" s="265"/>
    </row>
    <row r="161" spans="1:9">
      <c r="A161" s="285" t="s">
        <v>56</v>
      </c>
      <c r="B161" s="266">
        <v>1179331.5292248435</v>
      </c>
      <c r="C161" s="292"/>
      <c r="D161" s="292"/>
      <c r="E161" s="266">
        <v>110093.23974331518</v>
      </c>
      <c r="F161" s="292"/>
      <c r="G161" s="292"/>
      <c r="H161" s="292"/>
      <c r="I161" s="265"/>
    </row>
    <row r="162" spans="1:9">
      <c r="A162" s="285" t="s">
        <v>118</v>
      </c>
      <c r="B162" s="266">
        <v>788.43675949137935</v>
      </c>
      <c r="C162" s="292"/>
      <c r="D162" s="292"/>
      <c r="E162" s="266">
        <v>127.831401369863</v>
      </c>
      <c r="F162" s="292"/>
      <c r="G162" s="292"/>
      <c r="H162" s="292"/>
      <c r="I162" s="265"/>
    </row>
    <row r="163" spans="1:9">
      <c r="A163" s="285" t="s">
        <v>119</v>
      </c>
      <c r="B163" s="266">
        <v>7392.7733794913811</v>
      </c>
      <c r="C163" s="292"/>
      <c r="D163" s="292"/>
      <c r="E163" s="266">
        <v>462.20062191780835</v>
      </c>
      <c r="F163" s="292"/>
      <c r="G163" s="292"/>
      <c r="H163" s="292"/>
      <c r="I163" s="265"/>
    </row>
    <row r="164" spans="1:9">
      <c r="A164" s="288" t="s">
        <v>120</v>
      </c>
      <c r="B164" s="290"/>
      <c r="C164" s="290"/>
      <c r="D164" s="290"/>
      <c r="E164" s="290"/>
      <c r="F164" s="290"/>
      <c r="G164" s="290"/>
      <c r="H164" s="290"/>
      <c r="I164" s="265"/>
    </row>
    <row r="165" spans="1:9">
      <c r="A165" s="285" t="s">
        <v>57</v>
      </c>
      <c r="B165" s="266">
        <v>394405.65408074018</v>
      </c>
      <c r="C165" s="266">
        <v>183263.23104870663</v>
      </c>
      <c r="D165" s="292"/>
      <c r="E165" s="266">
        <v>29443.268260965255</v>
      </c>
      <c r="F165" s="292"/>
      <c r="G165" s="292"/>
      <c r="H165" s="292"/>
      <c r="I165" s="265"/>
    </row>
    <row r="166" spans="1:9">
      <c r="A166" s="285" t="s">
        <v>121</v>
      </c>
      <c r="B166" s="266">
        <v>41.250505112068964</v>
      </c>
      <c r="C166" s="266">
        <v>17.318100413793108</v>
      </c>
      <c r="D166" s="292"/>
      <c r="E166" s="266">
        <v>2.757156164383562</v>
      </c>
      <c r="F166" s="292"/>
      <c r="G166" s="292"/>
      <c r="H166" s="292"/>
      <c r="I166" s="265"/>
    </row>
    <row r="167" spans="1:9">
      <c r="A167" s="285" t="s">
        <v>122</v>
      </c>
      <c r="B167" s="266">
        <v>926.24888312068981</v>
      </c>
      <c r="C167" s="266">
        <v>260.32896822413795</v>
      </c>
      <c r="D167" s="292"/>
      <c r="E167" s="266">
        <v>23.554836986301375</v>
      </c>
      <c r="F167" s="292"/>
      <c r="G167" s="292"/>
      <c r="H167" s="292"/>
      <c r="I167" s="265"/>
    </row>
    <row r="168" spans="1:9">
      <c r="A168" s="288" t="s">
        <v>123</v>
      </c>
      <c r="B168" s="290"/>
      <c r="C168" s="290"/>
      <c r="D168" s="290"/>
      <c r="E168" s="290"/>
      <c r="F168" s="290"/>
      <c r="G168" s="290"/>
      <c r="H168" s="290"/>
      <c r="I168" s="265"/>
    </row>
    <row r="169" spans="1:9">
      <c r="A169" s="285" t="s">
        <v>92</v>
      </c>
      <c r="B169" s="266">
        <v>17319.819478475714</v>
      </c>
      <c r="C169" s="292"/>
      <c r="D169" s="292"/>
      <c r="E169" s="266">
        <v>3339</v>
      </c>
      <c r="F169" s="292"/>
      <c r="G169" s="292"/>
      <c r="H169" s="292"/>
      <c r="I169" s="265"/>
    </row>
    <row r="170" spans="1:9" ht="30">
      <c r="A170" s="285" t="s">
        <v>124</v>
      </c>
      <c r="B170" s="266">
        <v>0</v>
      </c>
      <c r="C170" s="292"/>
      <c r="D170" s="292"/>
      <c r="E170" s="266">
        <v>0</v>
      </c>
      <c r="F170" s="292"/>
      <c r="G170" s="292"/>
      <c r="H170" s="292"/>
      <c r="I170" s="265"/>
    </row>
    <row r="171" spans="1:9" ht="30">
      <c r="A171" s="285" t="s">
        <v>125</v>
      </c>
      <c r="B171" s="266">
        <v>0</v>
      </c>
      <c r="C171" s="292"/>
      <c r="D171" s="292"/>
      <c r="E171" s="266">
        <v>0</v>
      </c>
      <c r="F171" s="292"/>
      <c r="G171" s="292"/>
      <c r="H171" s="292"/>
      <c r="I171" s="265"/>
    </row>
    <row r="172" spans="1:9">
      <c r="A172" s="288" t="s">
        <v>126</v>
      </c>
      <c r="B172" s="290"/>
      <c r="C172" s="290"/>
      <c r="D172" s="290"/>
      <c r="E172" s="290"/>
      <c r="F172" s="290"/>
      <c r="G172" s="290"/>
      <c r="H172" s="290"/>
      <c r="I172" s="265"/>
    </row>
    <row r="173" spans="1:9">
      <c r="A173" s="285" t="s">
        <v>58</v>
      </c>
      <c r="B173" s="266">
        <v>8.0133204024159801E-4</v>
      </c>
      <c r="C173" s="266">
        <v>1.9866795975840209E-4</v>
      </c>
      <c r="D173" s="292"/>
      <c r="E173" s="266">
        <v>1.1375306250331345E-5</v>
      </c>
      <c r="F173" s="292"/>
      <c r="G173" s="292"/>
      <c r="H173" s="292"/>
      <c r="I173" s="265"/>
    </row>
    <row r="174" spans="1:9">
      <c r="A174" s="285" t="s">
        <v>127</v>
      </c>
      <c r="B174" s="266">
        <v>0</v>
      </c>
      <c r="C174" s="266">
        <v>0</v>
      </c>
      <c r="D174" s="292"/>
      <c r="E174" s="266">
        <v>0</v>
      </c>
      <c r="F174" s="292"/>
      <c r="G174" s="292"/>
      <c r="H174" s="292"/>
      <c r="I174" s="265"/>
    </row>
    <row r="175" spans="1:9">
      <c r="A175" s="285" t="s">
        <v>128</v>
      </c>
      <c r="B175" s="266">
        <v>0</v>
      </c>
      <c r="C175" s="266">
        <v>0</v>
      </c>
      <c r="D175" s="292"/>
      <c r="E175" s="266">
        <v>0</v>
      </c>
      <c r="F175" s="292"/>
      <c r="G175" s="292"/>
      <c r="H175" s="292"/>
      <c r="I175" s="265"/>
    </row>
    <row r="176" spans="1:9">
      <c r="A176" s="288" t="s">
        <v>129</v>
      </c>
      <c r="B176" s="290"/>
      <c r="C176" s="290"/>
      <c r="D176" s="290"/>
      <c r="E176" s="290"/>
      <c r="F176" s="290"/>
      <c r="G176" s="290"/>
      <c r="H176" s="290"/>
      <c r="I176" s="265"/>
    </row>
    <row r="177" spans="1:9">
      <c r="A177" s="285" t="s">
        <v>59</v>
      </c>
      <c r="B177" s="266">
        <v>7.8187632481715845E-4</v>
      </c>
      <c r="C177" s="266">
        <v>2.1812367518284149E-4</v>
      </c>
      <c r="D177" s="292"/>
      <c r="E177" s="266">
        <v>8.3651490727006342E-6</v>
      </c>
      <c r="F177" s="292"/>
      <c r="G177" s="292"/>
      <c r="H177" s="292"/>
      <c r="I177" s="265"/>
    </row>
    <row r="178" spans="1:9">
      <c r="A178" s="288" t="s">
        <v>130</v>
      </c>
      <c r="B178" s="290"/>
      <c r="C178" s="290"/>
      <c r="D178" s="290"/>
      <c r="E178" s="290"/>
      <c r="F178" s="290"/>
      <c r="G178" s="290"/>
      <c r="H178" s="290"/>
      <c r="I178" s="265"/>
    </row>
    <row r="179" spans="1:9">
      <c r="A179" s="285" t="s">
        <v>72</v>
      </c>
      <c r="B179" s="266">
        <v>7.7902953356325151E-4</v>
      </c>
      <c r="C179" s="266">
        <v>2.2097046643674843E-4</v>
      </c>
      <c r="D179" s="292"/>
      <c r="E179" s="266">
        <v>8.8911149421647205E-6</v>
      </c>
      <c r="F179" s="292"/>
      <c r="G179" s="292"/>
      <c r="H179" s="292"/>
      <c r="I179" s="265"/>
    </row>
    <row r="180" spans="1:9">
      <c r="A180" s="288" t="s">
        <v>1181</v>
      </c>
      <c r="B180" s="290"/>
      <c r="C180" s="290"/>
      <c r="D180" s="290"/>
      <c r="E180" s="290"/>
      <c r="F180" s="290"/>
      <c r="G180" s="290"/>
      <c r="H180" s="290"/>
      <c r="I180" s="265"/>
    </row>
    <row r="181" spans="1:9">
      <c r="A181" s="285" t="s">
        <v>1178</v>
      </c>
      <c r="B181" s="266">
        <v>2.2038402354910721E-2</v>
      </c>
      <c r="C181" s="266">
        <v>5.6003186010638299E-2</v>
      </c>
      <c r="D181" s="266">
        <v>5.28921656517857E-2</v>
      </c>
      <c r="E181" s="266">
        <v>8.4931506849315067E-2</v>
      </c>
      <c r="F181" s="292"/>
      <c r="G181" s="292"/>
      <c r="H181" s="292"/>
      <c r="I181" s="265"/>
    </row>
    <row r="182" spans="1:9">
      <c r="A182" s="285" t="s">
        <v>1175</v>
      </c>
      <c r="B182" s="266">
        <v>0</v>
      </c>
      <c r="C182" s="266">
        <v>0</v>
      </c>
      <c r="D182" s="266">
        <v>0</v>
      </c>
      <c r="E182" s="266">
        <v>0</v>
      </c>
      <c r="F182" s="292"/>
      <c r="G182" s="292"/>
      <c r="H182" s="292"/>
      <c r="I182" s="265"/>
    </row>
    <row r="183" spans="1:9">
      <c r="A183" s="285" t="s">
        <v>1172</v>
      </c>
      <c r="B183" s="266">
        <v>0</v>
      </c>
      <c r="C183" s="266">
        <v>0</v>
      </c>
      <c r="D183" s="266">
        <v>0</v>
      </c>
      <c r="E183" s="266">
        <v>0</v>
      </c>
      <c r="F183" s="292"/>
      <c r="G183" s="292"/>
      <c r="H183" s="292"/>
      <c r="I183" s="265"/>
    </row>
    <row r="184" spans="1:9">
      <c r="A184" s="288" t="s">
        <v>1180</v>
      </c>
      <c r="B184" s="290"/>
      <c r="C184" s="290"/>
      <c r="D184" s="290"/>
      <c r="E184" s="290"/>
      <c r="F184" s="290"/>
      <c r="G184" s="290"/>
      <c r="H184" s="290"/>
      <c r="I184" s="265"/>
    </row>
    <row r="185" spans="1:9">
      <c r="A185" s="285" t="s">
        <v>1177</v>
      </c>
      <c r="B185" s="266">
        <v>26809.776329036184</v>
      </c>
      <c r="C185" s="266">
        <v>198363.7566935535</v>
      </c>
      <c r="D185" s="266">
        <v>187790.92736802268</v>
      </c>
      <c r="E185" s="266">
        <v>6133.3604116966899</v>
      </c>
      <c r="F185" s="292"/>
      <c r="G185" s="292"/>
      <c r="H185" s="292"/>
      <c r="I185" s="265"/>
    </row>
    <row r="186" spans="1:9">
      <c r="A186" s="285" t="s">
        <v>1174</v>
      </c>
      <c r="B186" s="266">
        <v>3.3157410088189661</v>
      </c>
      <c r="C186" s="266">
        <v>24.610477729189657</v>
      </c>
      <c r="D186" s="266">
        <v>26.227817446189661</v>
      </c>
      <c r="E186" s="266">
        <v>1.1300991921225449</v>
      </c>
      <c r="F186" s="292"/>
      <c r="G186" s="292"/>
      <c r="H186" s="292"/>
      <c r="I186" s="265"/>
    </row>
    <row r="187" spans="1:9">
      <c r="A187" s="285" t="s">
        <v>1171</v>
      </c>
      <c r="B187" s="266">
        <v>208.85522710830037</v>
      </c>
      <c r="C187" s="266">
        <v>1439.9688025914054</v>
      </c>
      <c r="D187" s="266">
        <v>1182.4128410746812</v>
      </c>
      <c r="E187" s="266">
        <v>39.906605458800122</v>
      </c>
      <c r="F187" s="292"/>
      <c r="G187" s="292"/>
      <c r="H187" s="292"/>
      <c r="I187" s="265"/>
    </row>
    <row r="188" spans="1:9">
      <c r="A188" s="288" t="s">
        <v>131</v>
      </c>
      <c r="B188" s="290"/>
      <c r="C188" s="290"/>
      <c r="D188" s="290"/>
      <c r="E188" s="290"/>
      <c r="F188" s="290"/>
      <c r="G188" s="290"/>
      <c r="H188" s="290"/>
      <c r="I188" s="265"/>
    </row>
    <row r="189" spans="1:9">
      <c r="A189" s="285" t="s">
        <v>60</v>
      </c>
      <c r="B189" s="266">
        <v>86224.938174458686</v>
      </c>
      <c r="C189" s="266">
        <v>626406.11625046073</v>
      </c>
      <c r="D189" s="266">
        <v>551384.49934371735</v>
      </c>
      <c r="E189" s="266">
        <v>6675.4921517207349</v>
      </c>
      <c r="F189" s="266">
        <v>679119.46093167306</v>
      </c>
      <c r="G189" s="266">
        <v>12059.509748296468</v>
      </c>
      <c r="H189" s="266">
        <v>78582.108886907372</v>
      </c>
      <c r="I189" s="265"/>
    </row>
    <row r="190" spans="1:9">
      <c r="A190" s="285" t="s">
        <v>132</v>
      </c>
      <c r="B190" s="266">
        <v>26.670196333111619</v>
      </c>
      <c r="C190" s="266">
        <v>184.90987519400832</v>
      </c>
      <c r="D190" s="266">
        <v>189.04909032529565</v>
      </c>
      <c r="E190" s="266">
        <v>3.6487097119870446</v>
      </c>
      <c r="F190" s="266">
        <v>385.20564657534248</v>
      </c>
      <c r="G190" s="266">
        <v>0</v>
      </c>
      <c r="H190" s="266">
        <v>38.893499255172415</v>
      </c>
      <c r="I190" s="265"/>
    </row>
    <row r="191" spans="1:9">
      <c r="A191" s="285" t="s">
        <v>133</v>
      </c>
      <c r="B191" s="266">
        <v>3033.5166612945895</v>
      </c>
      <c r="C191" s="266">
        <v>19778.444486303983</v>
      </c>
      <c r="D191" s="266">
        <v>17104.938488611111</v>
      </c>
      <c r="E191" s="266">
        <v>102.52944728092592</v>
      </c>
      <c r="F191" s="266">
        <v>21251.928945205484</v>
      </c>
      <c r="G191" s="266">
        <v>85.518659589041107</v>
      </c>
      <c r="H191" s="266">
        <v>1726.2375684206897</v>
      </c>
      <c r="I191" s="265"/>
    </row>
    <row r="192" spans="1:9">
      <c r="A192" s="288" t="s">
        <v>134</v>
      </c>
      <c r="B192" s="290"/>
      <c r="C192" s="290"/>
      <c r="D192" s="290"/>
      <c r="E192" s="290"/>
      <c r="F192" s="290"/>
      <c r="G192" s="290"/>
      <c r="H192" s="290"/>
      <c r="I192" s="265"/>
    </row>
    <row r="193" spans="1:9">
      <c r="A193" s="285" t="s">
        <v>61</v>
      </c>
      <c r="B193" s="266">
        <v>49864.368371854573</v>
      </c>
      <c r="C193" s="266">
        <v>369689.81514963449</v>
      </c>
      <c r="D193" s="266">
        <v>340515.48335188109</v>
      </c>
      <c r="E193" s="266">
        <v>1936.9854039786185</v>
      </c>
      <c r="F193" s="266">
        <v>364556.94204575109</v>
      </c>
      <c r="G193" s="266">
        <v>5286.8109888675162</v>
      </c>
      <c r="H193" s="266">
        <v>65191.59809982658</v>
      </c>
      <c r="I193" s="265"/>
    </row>
    <row r="194" spans="1:9">
      <c r="A194" s="285" t="s">
        <v>135</v>
      </c>
      <c r="B194" s="266">
        <v>7.3537928980044374</v>
      </c>
      <c r="C194" s="266">
        <v>37.820208493355103</v>
      </c>
      <c r="D194" s="266">
        <v>52.294666737338311</v>
      </c>
      <c r="E194" s="266">
        <v>1.1758993150684933</v>
      </c>
      <c r="F194" s="266">
        <v>626.75433493150683</v>
      </c>
      <c r="G194" s="266">
        <v>0</v>
      </c>
      <c r="H194" s="266">
        <v>1.4026004999999999</v>
      </c>
      <c r="I194" s="265"/>
    </row>
    <row r="195" spans="1:9">
      <c r="A195" s="288" t="s">
        <v>136</v>
      </c>
      <c r="B195" s="290"/>
      <c r="C195" s="290"/>
      <c r="D195" s="290"/>
      <c r="E195" s="290"/>
      <c r="F195" s="290"/>
      <c r="G195" s="290"/>
      <c r="H195" s="290"/>
      <c r="I195" s="265"/>
    </row>
    <row r="196" spans="1:9">
      <c r="A196" s="285" t="s">
        <v>73</v>
      </c>
      <c r="B196" s="266">
        <v>153504.23635739877</v>
      </c>
      <c r="C196" s="266">
        <v>1093420.3303867856</v>
      </c>
      <c r="D196" s="266">
        <v>1183755.4135911537</v>
      </c>
      <c r="E196" s="266">
        <v>1060.270602740768</v>
      </c>
      <c r="F196" s="266">
        <v>854296.8159186152</v>
      </c>
      <c r="G196" s="266">
        <v>14165.401246932342</v>
      </c>
      <c r="H196" s="266">
        <v>163805.20245465485</v>
      </c>
      <c r="I196" s="265"/>
    </row>
    <row r="197" spans="1:9">
      <c r="A197" s="285" t="s">
        <v>137</v>
      </c>
      <c r="B197" s="266">
        <v>835.56520149345931</v>
      </c>
      <c r="C197" s="266">
        <v>5354.5554566887531</v>
      </c>
      <c r="D197" s="266">
        <v>7404.6287378891438</v>
      </c>
      <c r="E197" s="266">
        <v>7.7141773972602756</v>
      </c>
      <c r="F197" s="266">
        <v>12519.13216438356</v>
      </c>
      <c r="G197" s="266">
        <v>0</v>
      </c>
      <c r="H197" s="266">
        <v>256.52510143448279</v>
      </c>
      <c r="I197" s="265"/>
    </row>
    <row r="198" spans="1:9">
      <c r="A198" s="288" t="s">
        <v>138</v>
      </c>
      <c r="B198" s="290"/>
      <c r="C198" s="290"/>
      <c r="D198" s="290"/>
      <c r="E198" s="290"/>
      <c r="F198" s="290"/>
      <c r="G198" s="290"/>
      <c r="H198" s="290"/>
      <c r="I198" s="265"/>
    </row>
    <row r="199" spans="1:9">
      <c r="A199" s="285" t="s">
        <v>93</v>
      </c>
      <c r="B199" s="266">
        <v>10121.811870412395</v>
      </c>
      <c r="C199" s="292"/>
      <c r="D199" s="292"/>
      <c r="E199" s="266">
        <v>741</v>
      </c>
      <c r="F199" s="292"/>
      <c r="G199" s="292"/>
      <c r="H199" s="292"/>
      <c r="I199" s="265"/>
    </row>
    <row r="200" spans="1:9">
      <c r="A200" s="285" t="s">
        <v>139</v>
      </c>
      <c r="B200" s="266">
        <v>136.7981201637931</v>
      </c>
      <c r="C200" s="292"/>
      <c r="D200" s="292"/>
      <c r="E200" s="266">
        <v>0</v>
      </c>
      <c r="F200" s="292"/>
      <c r="G200" s="292"/>
      <c r="H200" s="292"/>
      <c r="I200" s="265"/>
    </row>
    <row r="201" spans="1:9">
      <c r="A201" s="285" t="s">
        <v>140</v>
      </c>
      <c r="B201" s="266">
        <v>23.736825</v>
      </c>
      <c r="C201" s="292"/>
      <c r="D201" s="292"/>
      <c r="E201" s="266">
        <v>0</v>
      </c>
      <c r="F201" s="292"/>
      <c r="G201" s="292"/>
      <c r="H201" s="292"/>
      <c r="I201" s="265"/>
    </row>
    <row r="202" spans="1:9">
      <c r="A202" s="288" t="s">
        <v>141</v>
      </c>
      <c r="B202" s="290"/>
      <c r="C202" s="290"/>
      <c r="D202" s="290"/>
      <c r="E202" s="290"/>
      <c r="F202" s="290"/>
      <c r="G202" s="290"/>
      <c r="H202" s="290"/>
      <c r="I202" s="265"/>
    </row>
    <row r="203" spans="1:9">
      <c r="A203" s="285" t="s">
        <v>94</v>
      </c>
      <c r="B203" s="266">
        <v>7712.9716131438981</v>
      </c>
      <c r="C203" s="292"/>
      <c r="D203" s="292"/>
      <c r="E203" s="266">
        <v>689</v>
      </c>
      <c r="F203" s="292"/>
      <c r="G203" s="292"/>
      <c r="H203" s="292"/>
      <c r="I203" s="265"/>
    </row>
    <row r="204" spans="1:9">
      <c r="A204" s="285" t="s">
        <v>142</v>
      </c>
      <c r="B204" s="266">
        <v>75.667019508620697</v>
      </c>
      <c r="C204" s="292"/>
      <c r="D204" s="292"/>
      <c r="E204" s="266">
        <v>0</v>
      </c>
      <c r="F204" s="292"/>
      <c r="G204" s="292"/>
      <c r="H204" s="292"/>
      <c r="I204" s="265"/>
    </row>
    <row r="205" spans="1:9">
      <c r="A205" s="285" t="s">
        <v>143</v>
      </c>
      <c r="B205" s="266">
        <v>301.33748599137931</v>
      </c>
      <c r="C205" s="292"/>
      <c r="D205" s="292"/>
      <c r="E205" s="266">
        <v>0</v>
      </c>
      <c r="F205" s="292"/>
      <c r="G205" s="292"/>
      <c r="H205" s="292"/>
      <c r="I205" s="265"/>
    </row>
    <row r="206" spans="1:9">
      <c r="A206" s="288" t="s">
        <v>144</v>
      </c>
      <c r="B206" s="290"/>
      <c r="C206" s="290"/>
      <c r="D206" s="290"/>
      <c r="E206" s="290"/>
      <c r="F206" s="290"/>
      <c r="G206" s="290"/>
      <c r="H206" s="290"/>
      <c r="I206" s="265"/>
    </row>
    <row r="207" spans="1:9">
      <c r="A207" s="285" t="s">
        <v>95</v>
      </c>
      <c r="B207" s="266">
        <v>989.1872895940935</v>
      </c>
      <c r="C207" s="292"/>
      <c r="D207" s="292"/>
      <c r="E207" s="266">
        <v>179</v>
      </c>
      <c r="F207" s="292"/>
      <c r="G207" s="292"/>
      <c r="H207" s="292"/>
      <c r="I207" s="265"/>
    </row>
    <row r="208" spans="1:9">
      <c r="A208" s="285" t="s">
        <v>145</v>
      </c>
      <c r="B208" s="266">
        <v>5.1353499568965537</v>
      </c>
      <c r="C208" s="292"/>
      <c r="D208" s="292"/>
      <c r="E208" s="266">
        <v>0</v>
      </c>
      <c r="F208" s="292"/>
      <c r="G208" s="292"/>
      <c r="H208" s="292"/>
      <c r="I208" s="265"/>
    </row>
    <row r="209" spans="1:9">
      <c r="A209" s="285" t="s">
        <v>146</v>
      </c>
      <c r="B209" s="266">
        <v>2.9883946810344835</v>
      </c>
      <c r="C209" s="292"/>
      <c r="D209" s="292"/>
      <c r="E209" s="266">
        <v>0</v>
      </c>
      <c r="F209" s="292"/>
      <c r="G209" s="292"/>
      <c r="H209" s="292"/>
      <c r="I209" s="265"/>
    </row>
    <row r="210" spans="1:9">
      <c r="A210" s="288" t="s">
        <v>147</v>
      </c>
      <c r="B210" s="290"/>
      <c r="C210" s="290"/>
      <c r="D210" s="290"/>
      <c r="E210" s="290"/>
      <c r="F210" s="290"/>
      <c r="G210" s="290"/>
      <c r="H210" s="290"/>
      <c r="I210" s="265"/>
    </row>
    <row r="211" spans="1:9">
      <c r="A211" s="285" t="s">
        <v>96</v>
      </c>
      <c r="B211" s="266">
        <v>0</v>
      </c>
      <c r="C211" s="292"/>
      <c r="D211" s="292"/>
      <c r="E211" s="266">
        <v>1</v>
      </c>
      <c r="F211" s="292"/>
      <c r="G211" s="292"/>
      <c r="H211" s="292"/>
      <c r="I211" s="265"/>
    </row>
    <row r="212" spans="1:9">
      <c r="A212" s="285" t="s">
        <v>148</v>
      </c>
      <c r="B212" s="266">
        <v>0</v>
      </c>
      <c r="C212" s="292"/>
      <c r="D212" s="292"/>
      <c r="E212" s="266">
        <v>0</v>
      </c>
      <c r="F212" s="292"/>
      <c r="G212" s="292"/>
      <c r="H212" s="292"/>
      <c r="I212" s="265"/>
    </row>
    <row r="213" spans="1:9">
      <c r="A213" s="285" t="s">
        <v>149</v>
      </c>
      <c r="B213" s="266">
        <v>0</v>
      </c>
      <c r="C213" s="292"/>
      <c r="D213" s="292"/>
      <c r="E213" s="266">
        <v>0</v>
      </c>
      <c r="F213" s="292"/>
      <c r="G213" s="292"/>
      <c r="H213" s="292"/>
      <c r="I213" s="265"/>
    </row>
    <row r="214" spans="1:9">
      <c r="A214" s="288" t="s">
        <v>150</v>
      </c>
      <c r="B214" s="290"/>
      <c r="C214" s="290"/>
      <c r="D214" s="290"/>
      <c r="E214" s="290"/>
      <c r="F214" s="290"/>
      <c r="G214" s="290"/>
      <c r="H214" s="290"/>
      <c r="I214" s="265"/>
    </row>
    <row r="215" spans="1:9">
      <c r="A215" s="285" t="s">
        <v>97</v>
      </c>
      <c r="B215" s="266">
        <v>4105.9859496450399</v>
      </c>
      <c r="C215" s="266">
        <v>29544.034960210251</v>
      </c>
      <c r="D215" s="266">
        <v>79785.804627936566</v>
      </c>
      <c r="E215" s="266">
        <v>27.444162911866147</v>
      </c>
      <c r="F215" s="292"/>
      <c r="G215" s="292"/>
      <c r="H215" s="292"/>
      <c r="I215" s="265"/>
    </row>
    <row r="216" spans="1:9">
      <c r="A216" s="285" t="s">
        <v>151</v>
      </c>
      <c r="B216" s="266">
        <v>0</v>
      </c>
      <c r="C216" s="266">
        <v>0</v>
      </c>
      <c r="D216" s="266">
        <v>0</v>
      </c>
      <c r="E216" s="266">
        <v>0</v>
      </c>
      <c r="F216" s="292"/>
      <c r="G216" s="292"/>
      <c r="H216" s="292"/>
      <c r="I216" s="265"/>
    </row>
    <row r="217" spans="1:9">
      <c r="A217" s="285" t="s">
        <v>152</v>
      </c>
      <c r="B217" s="266">
        <v>1.582648648170732</v>
      </c>
      <c r="C217" s="266">
        <v>5.703542262359643</v>
      </c>
      <c r="D217" s="266">
        <v>35.255484612621792</v>
      </c>
      <c r="E217" s="266">
        <v>1.1758993150684933</v>
      </c>
      <c r="F217" s="292"/>
      <c r="G217" s="292"/>
      <c r="H217" s="292"/>
      <c r="I217" s="265"/>
    </row>
    <row r="218" spans="1:9">
      <c r="A218" s="288" t="s">
        <v>1179</v>
      </c>
      <c r="B218" s="290"/>
      <c r="C218" s="290"/>
      <c r="D218" s="290"/>
      <c r="E218" s="290"/>
      <c r="F218" s="290"/>
      <c r="G218" s="290"/>
      <c r="H218" s="290"/>
      <c r="I218" s="265"/>
    </row>
    <row r="219" spans="1:9">
      <c r="A219" s="285" t="s">
        <v>1176</v>
      </c>
      <c r="B219" s="266">
        <v>3214.7578266896548</v>
      </c>
      <c r="C219" s="292"/>
      <c r="D219" s="292"/>
      <c r="E219" s="266">
        <v>286</v>
      </c>
      <c r="F219" s="292"/>
      <c r="G219" s="292"/>
      <c r="H219" s="292"/>
      <c r="I219" s="265"/>
    </row>
    <row r="220" spans="1:9">
      <c r="A220" s="285" t="s">
        <v>1173</v>
      </c>
      <c r="B220" s="266">
        <v>132.89592165517243</v>
      </c>
      <c r="C220" s="292"/>
      <c r="D220" s="292"/>
      <c r="E220" s="266">
        <v>0</v>
      </c>
      <c r="F220" s="292"/>
      <c r="G220" s="292"/>
      <c r="H220" s="292"/>
      <c r="I220" s="265"/>
    </row>
    <row r="221" spans="1:9">
      <c r="A221" s="285" t="s">
        <v>1170</v>
      </c>
      <c r="B221" s="266">
        <v>0</v>
      </c>
      <c r="C221" s="292"/>
      <c r="D221" s="292"/>
      <c r="E221" s="266">
        <v>0</v>
      </c>
      <c r="F221" s="292"/>
      <c r="G221" s="292"/>
      <c r="H221" s="292"/>
      <c r="I221" s="265"/>
    </row>
    <row r="222" spans="1:9">
      <c r="A222" s="288" t="s">
        <v>153</v>
      </c>
      <c r="B222" s="290"/>
      <c r="C222" s="290"/>
      <c r="D222" s="290"/>
      <c r="E222" s="290"/>
      <c r="F222" s="290"/>
      <c r="G222" s="290"/>
      <c r="H222" s="290"/>
      <c r="I222" s="265"/>
    </row>
    <row r="223" spans="1:9">
      <c r="A223" s="285" t="s">
        <v>62</v>
      </c>
      <c r="B223" s="266">
        <v>92.074856879310332</v>
      </c>
      <c r="C223" s="292"/>
      <c r="D223" s="292"/>
      <c r="E223" s="266">
        <v>1</v>
      </c>
      <c r="F223" s="292"/>
      <c r="G223" s="292"/>
      <c r="H223" s="292"/>
      <c r="I223" s="265"/>
    </row>
    <row r="224" spans="1:9">
      <c r="A224" s="285" t="s">
        <v>154</v>
      </c>
      <c r="B224" s="266">
        <v>0</v>
      </c>
      <c r="C224" s="292"/>
      <c r="D224" s="292"/>
      <c r="E224" s="266">
        <v>0</v>
      </c>
      <c r="F224" s="292"/>
      <c r="G224" s="292"/>
      <c r="H224" s="292"/>
      <c r="I224" s="265"/>
    </row>
    <row r="225" spans="1:9">
      <c r="A225" s="288" t="s">
        <v>155</v>
      </c>
      <c r="B225" s="290"/>
      <c r="C225" s="290"/>
      <c r="D225" s="290"/>
      <c r="E225" s="290"/>
      <c r="F225" s="290"/>
      <c r="G225" s="290"/>
      <c r="H225" s="290"/>
      <c r="I225" s="265"/>
    </row>
    <row r="226" spans="1:9">
      <c r="A226" s="285" t="s">
        <v>63</v>
      </c>
      <c r="B226" s="266">
        <v>78529.095040948305</v>
      </c>
      <c r="C226" s="292"/>
      <c r="D226" s="292"/>
      <c r="E226" s="266">
        <v>887.02632534246584</v>
      </c>
      <c r="F226" s="292"/>
      <c r="G226" s="292"/>
      <c r="H226" s="266">
        <v>6221.8592215431045</v>
      </c>
      <c r="I226" s="265"/>
    </row>
    <row r="227" spans="1:9">
      <c r="A227" s="285" t="s">
        <v>156</v>
      </c>
      <c r="B227" s="266">
        <v>0</v>
      </c>
      <c r="C227" s="292"/>
      <c r="D227" s="292"/>
      <c r="E227" s="266">
        <v>0</v>
      </c>
      <c r="F227" s="292"/>
      <c r="G227" s="292"/>
      <c r="H227" s="266">
        <v>0</v>
      </c>
      <c r="I227" s="265"/>
    </row>
    <row r="228" spans="1:9">
      <c r="A228" s="285" t="s">
        <v>157</v>
      </c>
      <c r="B228" s="266">
        <v>1158.4981509517236</v>
      </c>
      <c r="C228" s="292"/>
      <c r="D228" s="292"/>
      <c r="E228" s="266">
        <v>3.2634739726027386</v>
      </c>
      <c r="F228" s="292"/>
      <c r="G228" s="292"/>
      <c r="H228" s="266">
        <v>14.619248242758623</v>
      </c>
      <c r="I228" s="265"/>
    </row>
    <row r="229" spans="1:9">
      <c r="A229" s="288" t="s">
        <v>1559</v>
      </c>
      <c r="B229" s="290"/>
      <c r="C229" s="290"/>
      <c r="D229" s="290"/>
      <c r="E229" s="290"/>
      <c r="F229" s="290"/>
      <c r="G229" s="290"/>
      <c r="H229" s="290"/>
      <c r="I229" s="265"/>
    </row>
    <row r="230" spans="1:9">
      <c r="A230" s="285" t="s">
        <v>1516</v>
      </c>
      <c r="B230" s="266">
        <v>0</v>
      </c>
      <c r="C230" s="292"/>
      <c r="D230" s="292"/>
      <c r="E230" s="266">
        <v>0</v>
      </c>
      <c r="F230" s="292"/>
      <c r="G230" s="292"/>
      <c r="H230" s="292"/>
      <c r="I230" s="265"/>
    </row>
    <row r="231" spans="1:9">
      <c r="A231" s="288" t="s">
        <v>158</v>
      </c>
      <c r="B231" s="290"/>
      <c r="C231" s="290"/>
      <c r="D231" s="290"/>
      <c r="E231" s="290"/>
      <c r="F231" s="290"/>
      <c r="G231" s="290"/>
      <c r="H231" s="290"/>
      <c r="I231" s="265"/>
    </row>
    <row r="232" spans="1:9">
      <c r="A232" s="285" t="s">
        <v>64</v>
      </c>
      <c r="B232" s="266">
        <v>150.22435028789201</v>
      </c>
      <c r="C232" s="266">
        <v>933.01718610068747</v>
      </c>
      <c r="D232" s="266">
        <v>1215.9778554005959</v>
      </c>
      <c r="E232" s="266">
        <v>16.428914383561644</v>
      </c>
      <c r="F232" s="292"/>
      <c r="G232" s="292"/>
      <c r="H232" s="266">
        <v>631.56368132758632</v>
      </c>
      <c r="I232" s="265"/>
    </row>
    <row r="233" spans="1:9">
      <c r="A233" s="285" t="s">
        <v>159</v>
      </c>
      <c r="B233" s="266">
        <v>0</v>
      </c>
      <c r="C233" s="266">
        <v>0</v>
      </c>
      <c r="D233" s="266">
        <v>0</v>
      </c>
      <c r="E233" s="266">
        <v>0</v>
      </c>
      <c r="F233" s="292"/>
      <c r="G233" s="292"/>
      <c r="H233" s="266">
        <v>0</v>
      </c>
      <c r="I233" s="265"/>
    </row>
    <row r="234" spans="1:9">
      <c r="A234" s="285" t="s">
        <v>160</v>
      </c>
      <c r="B234" s="266">
        <v>0</v>
      </c>
      <c r="C234" s="266">
        <v>0</v>
      </c>
      <c r="D234" s="266">
        <v>0</v>
      </c>
      <c r="E234" s="266">
        <v>0</v>
      </c>
      <c r="F234" s="292"/>
      <c r="G234" s="292"/>
      <c r="H234" s="266">
        <v>0</v>
      </c>
      <c r="I234" s="265"/>
    </row>
    <row r="235" spans="1:9">
      <c r="A235" s="288" t="s">
        <v>1560</v>
      </c>
      <c r="B235" s="290"/>
      <c r="C235" s="290"/>
      <c r="D235" s="290"/>
      <c r="E235" s="290"/>
      <c r="F235" s="290"/>
      <c r="G235" s="290"/>
      <c r="H235" s="290"/>
      <c r="I235" s="265"/>
    </row>
    <row r="236" spans="1:9">
      <c r="A236" s="285" t="s">
        <v>1517</v>
      </c>
      <c r="B236" s="266">
        <v>0</v>
      </c>
      <c r="C236" s="266">
        <v>0</v>
      </c>
      <c r="D236" s="266">
        <v>0</v>
      </c>
      <c r="E236" s="266">
        <v>0</v>
      </c>
      <c r="F236" s="292"/>
      <c r="G236" s="292"/>
      <c r="H236" s="292"/>
      <c r="I236" s="265"/>
    </row>
    <row r="237" spans="1:9">
      <c r="A237" s="288" t="s">
        <v>161</v>
      </c>
      <c r="B237" s="290"/>
      <c r="C237" s="290"/>
      <c r="D237" s="290"/>
      <c r="E237" s="290"/>
      <c r="F237" s="290"/>
      <c r="G237" s="290"/>
      <c r="H237" s="290"/>
      <c r="I237" s="265"/>
    </row>
    <row r="238" spans="1:9">
      <c r="A238" s="285" t="s">
        <v>65</v>
      </c>
      <c r="B238" s="266">
        <v>13040.742602439654</v>
      </c>
      <c r="C238" s="292"/>
      <c r="D238" s="292"/>
      <c r="E238" s="266">
        <v>121.63811301369863</v>
      </c>
      <c r="F238" s="292"/>
      <c r="G238" s="292"/>
      <c r="H238" s="266">
        <v>1632.6222186810344</v>
      </c>
      <c r="I238" s="265"/>
    </row>
    <row r="239" spans="1:9">
      <c r="A239" s="285" t="s">
        <v>162</v>
      </c>
      <c r="B239" s="266">
        <v>0</v>
      </c>
      <c r="C239" s="292"/>
      <c r="D239" s="292"/>
      <c r="E239" s="266">
        <v>0</v>
      </c>
      <c r="F239" s="292"/>
      <c r="G239" s="292"/>
      <c r="H239" s="266">
        <v>0</v>
      </c>
      <c r="I239" s="265"/>
    </row>
    <row r="240" spans="1:9">
      <c r="A240" s="288" t="s">
        <v>1561</v>
      </c>
      <c r="B240" s="290"/>
      <c r="C240" s="290"/>
      <c r="D240" s="290"/>
      <c r="E240" s="290"/>
      <c r="F240" s="290"/>
      <c r="G240" s="290"/>
      <c r="H240" s="290"/>
      <c r="I240" s="265"/>
    </row>
    <row r="241" spans="1:9">
      <c r="A241" s="285" t="s">
        <v>1518</v>
      </c>
      <c r="B241" s="266">
        <v>0</v>
      </c>
      <c r="C241" s="292"/>
      <c r="D241" s="292"/>
      <c r="E241" s="266">
        <v>0</v>
      </c>
      <c r="F241" s="292"/>
      <c r="G241" s="292"/>
      <c r="H241" s="292"/>
      <c r="I241" s="265"/>
    </row>
    <row r="242" spans="1:9">
      <c r="A242" s="288" t="s">
        <v>163</v>
      </c>
      <c r="B242" s="290"/>
      <c r="C242" s="290"/>
      <c r="D242" s="290"/>
      <c r="E242" s="290"/>
      <c r="F242" s="290"/>
      <c r="G242" s="290"/>
      <c r="H242" s="290"/>
      <c r="I242" s="265"/>
    </row>
    <row r="243" spans="1:9">
      <c r="A243" s="285" t="s">
        <v>66</v>
      </c>
      <c r="B243" s="266">
        <v>262.77834065563309</v>
      </c>
      <c r="C243" s="266">
        <v>1416.430282521459</v>
      </c>
      <c r="D243" s="266">
        <v>2413.7732126878327</v>
      </c>
      <c r="E243" s="266">
        <v>12.478949999999999</v>
      </c>
      <c r="F243" s="292"/>
      <c r="G243" s="292"/>
      <c r="H243" s="266">
        <v>606.8858033017242</v>
      </c>
      <c r="I243" s="265"/>
    </row>
    <row r="244" spans="1:9">
      <c r="A244" s="285" t="s">
        <v>164</v>
      </c>
      <c r="B244" s="266">
        <v>0</v>
      </c>
      <c r="C244" s="266">
        <v>0</v>
      </c>
      <c r="D244" s="266">
        <v>0</v>
      </c>
      <c r="E244" s="266">
        <v>0</v>
      </c>
      <c r="F244" s="292"/>
      <c r="G244" s="292"/>
      <c r="H244" s="266">
        <v>0</v>
      </c>
      <c r="I244" s="265"/>
    </row>
    <row r="245" spans="1:9">
      <c r="A245" s="288" t="s">
        <v>1562</v>
      </c>
      <c r="B245" s="290"/>
      <c r="C245" s="290"/>
      <c r="D245" s="290"/>
      <c r="E245" s="290"/>
      <c r="F245" s="290"/>
      <c r="G245" s="290"/>
      <c r="H245" s="290"/>
      <c r="I245" s="265"/>
    </row>
    <row r="246" spans="1:9">
      <c r="A246" s="285" t="s">
        <v>1519</v>
      </c>
      <c r="B246" s="266">
        <v>0</v>
      </c>
      <c r="C246" s="266">
        <v>0</v>
      </c>
      <c r="D246" s="266">
        <v>0</v>
      </c>
      <c r="E246" s="266">
        <v>0</v>
      </c>
      <c r="F246" s="292"/>
      <c r="G246" s="292"/>
      <c r="H246" s="292"/>
      <c r="I246" s="265"/>
    </row>
    <row r="247" spans="1:9">
      <c r="A247" s="288" t="s">
        <v>165</v>
      </c>
      <c r="B247" s="290"/>
      <c r="C247" s="290"/>
      <c r="D247" s="290"/>
      <c r="E247" s="290"/>
      <c r="F247" s="290"/>
      <c r="G247" s="290"/>
      <c r="H247" s="290"/>
      <c r="I247" s="265"/>
    </row>
    <row r="248" spans="1:9">
      <c r="A248" s="285" t="s">
        <v>74</v>
      </c>
      <c r="B248" s="266">
        <v>408798.58803053456</v>
      </c>
      <c r="C248" s="292"/>
      <c r="D248" s="292"/>
      <c r="E248" s="266">
        <v>237.99717534246571</v>
      </c>
      <c r="F248" s="292"/>
      <c r="G248" s="292"/>
      <c r="H248" s="266">
        <v>3870.4537602500009</v>
      </c>
      <c r="I248" s="265"/>
    </row>
    <row r="249" spans="1:9">
      <c r="A249" s="285" t="s">
        <v>166</v>
      </c>
      <c r="B249" s="266">
        <v>28.965318951724136</v>
      </c>
      <c r="C249" s="292"/>
      <c r="D249" s="292"/>
      <c r="E249" s="266">
        <v>1.9710246575342465</v>
      </c>
      <c r="F249" s="292"/>
      <c r="G249" s="292"/>
      <c r="H249" s="266">
        <v>0</v>
      </c>
      <c r="I249" s="265"/>
    </row>
    <row r="250" spans="1:9">
      <c r="A250" s="288" t="s">
        <v>1563</v>
      </c>
      <c r="B250" s="290"/>
      <c r="C250" s="290"/>
      <c r="D250" s="290"/>
      <c r="E250" s="290"/>
      <c r="F250" s="290"/>
      <c r="G250" s="290"/>
      <c r="H250" s="290"/>
      <c r="I250" s="265"/>
    </row>
    <row r="251" spans="1:9">
      <c r="A251" s="285" t="s">
        <v>1520</v>
      </c>
      <c r="B251" s="266">
        <v>0</v>
      </c>
      <c r="C251" s="292"/>
      <c r="D251" s="292"/>
      <c r="E251" s="266">
        <v>0</v>
      </c>
      <c r="F251" s="292"/>
      <c r="G251" s="292"/>
      <c r="H251" s="292"/>
      <c r="I251" s="265"/>
    </row>
    <row r="252" spans="1:9">
      <c r="A252" s="288" t="s">
        <v>167</v>
      </c>
      <c r="B252" s="290"/>
      <c r="C252" s="290"/>
      <c r="D252" s="290"/>
      <c r="E252" s="290"/>
      <c r="F252" s="290"/>
      <c r="G252" s="290"/>
      <c r="H252" s="290"/>
      <c r="I252" s="265"/>
    </row>
    <row r="253" spans="1:9">
      <c r="A253" s="285" t="s">
        <v>75</v>
      </c>
      <c r="B253" s="266">
        <v>18175.24295154327</v>
      </c>
      <c r="C253" s="266">
        <v>96563.406957456726</v>
      </c>
      <c r="D253" s="266">
        <v>133398.79562824525</v>
      </c>
      <c r="E253" s="266">
        <v>70.943264383561655</v>
      </c>
      <c r="F253" s="292"/>
      <c r="G253" s="292"/>
      <c r="H253" s="266">
        <v>2452.5003561982758</v>
      </c>
      <c r="I253" s="265"/>
    </row>
    <row r="254" spans="1:9">
      <c r="A254" s="285" t="s">
        <v>168</v>
      </c>
      <c r="B254" s="266">
        <v>6.9664922394678516E-2</v>
      </c>
      <c r="C254" s="266">
        <v>0.88856101305223611</v>
      </c>
      <c r="D254" s="266">
        <v>2.9569237396821908</v>
      </c>
      <c r="E254" s="266">
        <v>1.3382136986301367</v>
      </c>
      <c r="F254" s="292"/>
      <c r="G254" s="292"/>
      <c r="H254" s="266">
        <v>0.9497207172413793</v>
      </c>
      <c r="I254" s="265"/>
    </row>
    <row r="255" spans="1:9">
      <c r="A255" s="288" t="s">
        <v>1564</v>
      </c>
      <c r="B255" s="290"/>
      <c r="C255" s="290"/>
      <c r="D255" s="290"/>
      <c r="E255" s="290"/>
      <c r="F255" s="290"/>
      <c r="G255" s="290"/>
      <c r="H255" s="290"/>
      <c r="I255" s="265"/>
    </row>
    <row r="256" spans="1:9">
      <c r="A256" s="285" t="s">
        <v>1521</v>
      </c>
      <c r="B256" s="266">
        <v>0</v>
      </c>
      <c r="C256" s="266">
        <v>0</v>
      </c>
      <c r="D256" s="266">
        <v>0</v>
      </c>
      <c r="E256" s="266">
        <v>0</v>
      </c>
      <c r="F256" s="292"/>
      <c r="G256" s="292"/>
      <c r="H256" s="292"/>
      <c r="I256" s="265"/>
    </row>
    <row r="258" spans="1:6" ht="21" customHeight="1">
      <c r="A258" s="1" t="s">
        <v>169</v>
      </c>
    </row>
    <row r="259" spans="1:6">
      <c r="A259" s="264" t="s">
        <v>224</v>
      </c>
    </row>
    <row r="260" spans="1:6">
      <c r="A260" t="s">
        <v>99</v>
      </c>
    </row>
    <row r="261" spans="1:6" ht="30">
      <c r="B261" s="284" t="s">
        <v>170</v>
      </c>
    </row>
    <row r="262" spans="1:6">
      <c r="A262" s="285" t="s">
        <v>171</v>
      </c>
      <c r="B262" s="266">
        <v>10140946.883201897</v>
      </c>
      <c r="C262" s="265" t="s">
        <v>224</v>
      </c>
    </row>
    <row r="264" spans="1:6" ht="21" customHeight="1">
      <c r="A264" s="1" t="s">
        <v>172</v>
      </c>
    </row>
    <row r="265" spans="1:6">
      <c r="A265" t="s">
        <v>224</v>
      </c>
    </row>
    <row r="266" spans="1:6">
      <c r="B266" s="284" t="s">
        <v>173</v>
      </c>
      <c r="C266" s="284" t="s">
        <v>174</v>
      </c>
      <c r="D266" s="284" t="s">
        <v>175</v>
      </c>
      <c r="E266" s="284" t="s">
        <v>176</v>
      </c>
    </row>
    <row r="267" spans="1:6">
      <c r="A267" s="285" t="s">
        <v>177</v>
      </c>
      <c r="B267" s="266">
        <v>38037763.900259838</v>
      </c>
      <c r="C267" s="266">
        <v>113753824.54936889</v>
      </c>
      <c r="D267" s="293">
        <v>0.6</v>
      </c>
      <c r="E267" s="266">
        <v>21802510.59382423</v>
      </c>
      <c r="F267" s="265" t="s">
        <v>224</v>
      </c>
    </row>
    <row r="269" spans="1:6" ht="21" customHeight="1">
      <c r="A269" s="1" t="s">
        <v>178</v>
      </c>
    </row>
    <row r="270" spans="1:6">
      <c r="A270" s="264"/>
    </row>
    <row r="271" spans="1:6">
      <c r="A271" s="264" t="s">
        <v>179</v>
      </c>
    </row>
    <row r="272" spans="1:6">
      <c r="A272" s="264" t="s">
        <v>180</v>
      </c>
    </row>
    <row r="273" spans="1:10">
      <c r="A273" t="s">
        <v>181</v>
      </c>
    </row>
    <row r="274" spans="1:10" ht="30">
      <c r="B274" s="284" t="s">
        <v>182</v>
      </c>
      <c r="C274" s="284" t="s">
        <v>183</v>
      </c>
      <c r="D274" s="284" t="s">
        <v>184</v>
      </c>
      <c r="E274" s="284" t="s">
        <v>185</v>
      </c>
      <c r="F274" s="284" t="s">
        <v>186</v>
      </c>
      <c r="G274" s="284" t="s">
        <v>187</v>
      </c>
      <c r="H274" s="284" t="s">
        <v>188</v>
      </c>
      <c r="I274" s="284" t="s">
        <v>189</v>
      </c>
    </row>
    <row r="275" spans="1:10">
      <c r="A275" s="285" t="s">
        <v>190</v>
      </c>
      <c r="B275" s="293">
        <v>0</v>
      </c>
      <c r="C275" s="293">
        <v>0</v>
      </c>
      <c r="D275" s="293">
        <v>0</v>
      </c>
      <c r="E275" s="293">
        <v>0.81</v>
      </c>
      <c r="F275" s="293">
        <v>0</v>
      </c>
      <c r="G275" s="293">
        <v>0.81</v>
      </c>
      <c r="H275" s="293">
        <v>0.95</v>
      </c>
      <c r="I275" s="293">
        <v>0.95</v>
      </c>
      <c r="J275" s="265" t="s">
        <v>224</v>
      </c>
    </row>
    <row r="276" spans="1:10">
      <c r="A276" s="285" t="s">
        <v>191</v>
      </c>
      <c r="B276" s="293">
        <v>0</v>
      </c>
      <c r="C276" s="293">
        <v>0</v>
      </c>
      <c r="D276" s="293">
        <v>0</v>
      </c>
      <c r="E276" s="293">
        <v>0.81</v>
      </c>
      <c r="F276" s="293">
        <v>0</v>
      </c>
      <c r="G276" s="293">
        <v>0.81</v>
      </c>
      <c r="H276" s="293">
        <v>0.95</v>
      </c>
      <c r="I276" s="292"/>
      <c r="J276" s="265" t="s">
        <v>224</v>
      </c>
    </row>
    <row r="277" spans="1:10">
      <c r="A277" s="285" t="s">
        <v>192</v>
      </c>
      <c r="B277" s="293">
        <v>0</v>
      </c>
      <c r="C277" s="293">
        <v>0.67</v>
      </c>
      <c r="D277" s="293">
        <v>0.67</v>
      </c>
      <c r="E277" s="293">
        <v>1</v>
      </c>
      <c r="F277" s="293">
        <v>0</v>
      </c>
      <c r="G277" s="293">
        <v>1</v>
      </c>
      <c r="H277" s="292"/>
      <c r="I277" s="292"/>
      <c r="J277" s="265" t="s">
        <v>224</v>
      </c>
    </row>
    <row r="278" spans="1:10">
      <c r="A278" s="285" t="s">
        <v>193</v>
      </c>
      <c r="B278" s="293">
        <v>0</v>
      </c>
      <c r="C278" s="293">
        <v>0.67</v>
      </c>
      <c r="D278" s="293">
        <v>0.67</v>
      </c>
      <c r="E278" s="293">
        <v>1</v>
      </c>
      <c r="F278" s="292"/>
      <c r="G278" s="292"/>
      <c r="H278" s="292"/>
      <c r="I278" s="292"/>
      <c r="J278" s="265" t="s">
        <v>224</v>
      </c>
    </row>
    <row r="280" spans="1:10" ht="21" customHeight="1">
      <c r="A280" s="1" t="s">
        <v>194</v>
      </c>
    </row>
    <row r="282" spans="1:10">
      <c r="B282" s="284" t="s">
        <v>195</v>
      </c>
      <c r="C282" s="284" t="s">
        <v>196</v>
      </c>
      <c r="D282" s="284" t="s">
        <v>197</v>
      </c>
    </row>
    <row r="283" spans="1:10">
      <c r="A283" s="285" t="s">
        <v>54</v>
      </c>
      <c r="B283" s="293">
        <v>8.8740200313094042E-2</v>
      </c>
      <c r="C283" s="293">
        <v>0.46239559627820986</v>
      </c>
      <c r="D283" s="293">
        <v>0.44886420340869609</v>
      </c>
      <c r="E283" s="265" t="s">
        <v>224</v>
      </c>
    </row>
    <row r="284" spans="1:10">
      <c r="A284" s="285" t="s">
        <v>55</v>
      </c>
      <c r="B284" s="293">
        <v>0.10751585240751205</v>
      </c>
      <c r="C284" s="293">
        <v>0.53928993725192576</v>
      </c>
      <c r="D284" s="293">
        <v>0.35319421034056231</v>
      </c>
      <c r="E284" s="265" t="s">
        <v>224</v>
      </c>
    </row>
    <row r="285" spans="1:10">
      <c r="A285" s="285" t="s">
        <v>91</v>
      </c>
      <c r="B285" s="293">
        <v>1.3467452839655742E-3</v>
      </c>
      <c r="C285" s="293">
        <v>0.10870547020102579</v>
      </c>
      <c r="D285" s="293">
        <v>0.88994778451500867</v>
      </c>
      <c r="E285" s="265"/>
    </row>
    <row r="286" spans="1:10">
      <c r="A286" s="285" t="s">
        <v>56</v>
      </c>
      <c r="B286" s="293">
        <v>6.26200465507879E-2</v>
      </c>
      <c r="C286" s="293">
        <v>0.56596294840089356</v>
      </c>
      <c r="D286" s="293">
        <v>0.37141700504831854</v>
      </c>
      <c r="E286" s="265"/>
    </row>
    <row r="287" spans="1:10">
      <c r="A287" s="285" t="s">
        <v>57</v>
      </c>
      <c r="B287" s="293">
        <v>8.1156541207900612E-2</v>
      </c>
      <c r="C287" s="293">
        <v>0.63066077743340532</v>
      </c>
      <c r="D287" s="293">
        <v>0.28818268135869413</v>
      </c>
      <c r="E287" s="265" t="s">
        <v>224</v>
      </c>
    </row>
    <row r="288" spans="1:10">
      <c r="A288" s="285" t="s">
        <v>92</v>
      </c>
      <c r="B288" s="293">
        <v>2.1108855935806684E-3</v>
      </c>
      <c r="C288" s="293">
        <v>0.11802654892647897</v>
      </c>
      <c r="D288" s="293">
        <v>0.87986256547994035</v>
      </c>
      <c r="E288" s="265" t="s">
        <v>224</v>
      </c>
    </row>
    <row r="289" spans="1:5">
      <c r="A289" s="285" t="s">
        <v>58</v>
      </c>
      <c r="B289" s="293">
        <v>8.2970247934956221E-2</v>
      </c>
      <c r="C289" s="293">
        <v>0.62036110080486229</v>
      </c>
      <c r="D289" s="293">
        <v>0.29666865126018144</v>
      </c>
      <c r="E289" s="265" t="s">
        <v>224</v>
      </c>
    </row>
    <row r="290" spans="1:5">
      <c r="A290" s="285" t="s">
        <v>59</v>
      </c>
      <c r="B290" s="293">
        <v>8.1888603416870973E-2</v>
      </c>
      <c r="C290" s="293">
        <v>0.61855839995261419</v>
      </c>
      <c r="D290" s="293">
        <v>0.29955299663051482</v>
      </c>
      <c r="E290" s="265" t="s">
        <v>224</v>
      </c>
    </row>
    <row r="291" spans="1:5">
      <c r="A291" s="285" t="s">
        <v>72</v>
      </c>
      <c r="B291" s="293">
        <v>8.215022324053349E-2</v>
      </c>
      <c r="C291" s="293">
        <v>0.63955866566854391</v>
      </c>
      <c r="D291" s="293">
        <v>0.27829111109092258</v>
      </c>
      <c r="E291" s="265" t="s">
        <v>224</v>
      </c>
    </row>
    <row r="293" spans="1:5" ht="21" customHeight="1">
      <c r="A293" s="1" t="s">
        <v>198</v>
      </c>
    </row>
    <row r="295" spans="1:5">
      <c r="B295" s="284" t="s">
        <v>195</v>
      </c>
      <c r="C295" s="284" t="s">
        <v>196</v>
      </c>
      <c r="D295" s="284" t="s">
        <v>197</v>
      </c>
    </row>
    <row r="296" spans="1:5">
      <c r="A296" s="285" t="s">
        <v>55</v>
      </c>
      <c r="B296" s="293">
        <v>0</v>
      </c>
      <c r="C296" s="293">
        <v>2.0980929821621391E-2</v>
      </c>
      <c r="D296" s="293">
        <v>0.97901907017837864</v>
      </c>
      <c r="E296" s="265" t="s">
        <v>224</v>
      </c>
    </row>
    <row r="297" spans="1:5">
      <c r="A297" s="285" t="s">
        <v>57</v>
      </c>
      <c r="B297" s="293">
        <v>0</v>
      </c>
      <c r="C297" s="293">
        <v>2.6444594802158033E-2</v>
      </c>
      <c r="D297" s="293">
        <v>0.97355540519784201</v>
      </c>
      <c r="E297" s="265" t="s">
        <v>224</v>
      </c>
    </row>
    <row r="298" spans="1:5">
      <c r="A298" s="285" t="s">
        <v>58</v>
      </c>
      <c r="B298" s="293">
        <v>0</v>
      </c>
      <c r="C298" s="293">
        <v>0</v>
      </c>
      <c r="D298" s="293">
        <v>1</v>
      </c>
      <c r="E298" s="265" t="s">
        <v>224</v>
      </c>
    </row>
    <row r="299" spans="1:5">
      <c r="A299" s="285" t="s">
        <v>59</v>
      </c>
      <c r="B299" s="293">
        <v>0</v>
      </c>
      <c r="C299" s="293">
        <v>0</v>
      </c>
      <c r="D299" s="293">
        <v>1</v>
      </c>
      <c r="E299" s="265" t="s">
        <v>224</v>
      </c>
    </row>
    <row r="300" spans="1:5">
      <c r="A300" s="285" t="s">
        <v>72</v>
      </c>
      <c r="B300" s="293">
        <v>0</v>
      </c>
      <c r="C300" s="293">
        <v>0</v>
      </c>
      <c r="D300" s="293">
        <v>1</v>
      </c>
      <c r="E300" s="265" t="s">
        <v>224</v>
      </c>
    </row>
    <row r="302" spans="1:5" ht="21" customHeight="1">
      <c r="A302" s="1" t="s">
        <v>199</v>
      </c>
    </row>
    <row r="304" spans="1:5">
      <c r="B304" s="284" t="s">
        <v>200</v>
      </c>
      <c r="C304" s="284" t="s">
        <v>201</v>
      </c>
      <c r="D304" s="284" t="s">
        <v>197</v>
      </c>
      <c r="E304" t="s">
        <v>224</v>
      </c>
    </row>
    <row r="305" spans="1:5">
      <c r="A305" s="285" t="s">
        <v>93</v>
      </c>
      <c r="B305" s="293">
        <v>1.7335795260789644E-2</v>
      </c>
      <c r="C305" s="293">
        <v>0.4355228684781795</v>
      </c>
      <c r="D305" s="293">
        <v>0.54714133626103079</v>
      </c>
      <c r="E305" s="265" t="s">
        <v>224</v>
      </c>
    </row>
    <row r="306" spans="1:5">
      <c r="A306" s="285" t="s">
        <v>94</v>
      </c>
      <c r="B306" s="293">
        <v>3.2847302717098244E-2</v>
      </c>
      <c r="C306" s="293">
        <v>0.1517630105786926</v>
      </c>
      <c r="D306" s="293">
        <v>0.81538968670420919</v>
      </c>
      <c r="E306" s="265" t="s">
        <v>224</v>
      </c>
    </row>
    <row r="307" spans="1:5">
      <c r="A307" s="285" t="s">
        <v>95</v>
      </c>
      <c r="B307" s="293">
        <v>5.9273595790326206E-2</v>
      </c>
      <c r="C307" s="293">
        <v>0.24811484564374295</v>
      </c>
      <c r="D307" s="293">
        <v>0.69261155856593071</v>
      </c>
      <c r="E307" s="265" t="s">
        <v>224</v>
      </c>
    </row>
    <row r="308" spans="1:5">
      <c r="A308" s="285" t="s">
        <v>96</v>
      </c>
      <c r="B308" s="293">
        <v>2.4492897224272499E-3</v>
      </c>
      <c r="C308" s="293">
        <v>0.69957381670812457</v>
      </c>
      <c r="D308" s="293">
        <v>0.29797689356944818</v>
      </c>
      <c r="E308" s="265" t="s">
        <v>224</v>
      </c>
    </row>
    <row r="310" spans="1:5" ht="21" customHeight="1">
      <c r="A310" s="1" t="s">
        <v>202</v>
      </c>
    </row>
    <row r="311" spans="1:5">
      <c r="A311" s="264" t="s">
        <v>203</v>
      </c>
    </row>
    <row r="312" spans="1:5">
      <c r="A312" s="264" t="s">
        <v>204</v>
      </c>
    </row>
    <row r="314" spans="1:5">
      <c r="B314" s="284" t="s">
        <v>200</v>
      </c>
      <c r="C314" s="284" t="s">
        <v>201</v>
      </c>
      <c r="D314" s="284" t="s">
        <v>197</v>
      </c>
    </row>
    <row r="315" spans="1:5">
      <c r="A315" s="285" t="s">
        <v>205</v>
      </c>
      <c r="B315" s="294">
        <v>152</v>
      </c>
      <c r="C315" s="294">
        <v>3814</v>
      </c>
      <c r="D315" s="294">
        <v>4794</v>
      </c>
      <c r="E315" s="265" t="s">
        <v>224</v>
      </c>
    </row>
    <row r="317" spans="1:5" ht="21" customHeight="1">
      <c r="A317" s="1" t="s">
        <v>206</v>
      </c>
    </row>
    <row r="318" spans="1:5">
      <c r="A318" s="264"/>
    </row>
    <row r="319" spans="1:5">
      <c r="A319" s="264" t="s">
        <v>203</v>
      </c>
    </row>
    <row r="320" spans="1:5">
      <c r="A320" t="s">
        <v>204</v>
      </c>
    </row>
    <row r="321" spans="1:6">
      <c r="B321" s="284" t="s">
        <v>195</v>
      </c>
      <c r="C321" s="284" t="s">
        <v>196</v>
      </c>
      <c r="D321" s="284" t="s">
        <v>197</v>
      </c>
    </row>
    <row r="322" spans="1:6">
      <c r="A322" s="285" t="s">
        <v>205</v>
      </c>
      <c r="B322" s="294">
        <v>522</v>
      </c>
      <c r="C322" s="294">
        <v>3444</v>
      </c>
      <c r="D322" s="294">
        <v>4794</v>
      </c>
      <c r="E322" s="265" t="s">
        <v>224</v>
      </c>
    </row>
    <row r="324" spans="1:6" ht="21" customHeight="1">
      <c r="A324" s="1" t="s">
        <v>207</v>
      </c>
    </row>
    <row r="325" spans="1:6">
      <c r="A325" s="264"/>
    </row>
    <row r="327" spans="1:6">
      <c r="A327" t="s">
        <v>208</v>
      </c>
      <c r="B327" s="295"/>
      <c r="C327" s="295"/>
      <c r="D327" s="295"/>
    </row>
    <row r="328" spans="1:6">
      <c r="B328" s="284" t="s">
        <v>195</v>
      </c>
      <c r="C328" s="284" t="s">
        <v>196</v>
      </c>
      <c r="D328" s="284" t="s">
        <v>197</v>
      </c>
      <c r="E328" s="284" t="s">
        <v>200</v>
      </c>
    </row>
    <row r="329" spans="1:6">
      <c r="A329" s="285" t="s">
        <v>22</v>
      </c>
      <c r="B329" s="293">
        <v>1</v>
      </c>
      <c r="C329" s="293">
        <v>0</v>
      </c>
      <c r="D329" s="293">
        <v>0</v>
      </c>
      <c r="E329" s="293">
        <v>0.92156483159064961</v>
      </c>
      <c r="F329" s="265" t="s">
        <v>224</v>
      </c>
    </row>
    <row r="330" spans="1:6">
      <c r="A330" s="285" t="s">
        <v>23</v>
      </c>
      <c r="B330" s="293">
        <v>0.84421935577541152</v>
      </c>
      <c r="C330" s="293">
        <v>9.0147705546417975E-2</v>
      </c>
      <c r="D330" s="293">
        <v>6.5632938678170452E-2</v>
      </c>
      <c r="E330" s="293">
        <v>0.8059370919906842</v>
      </c>
      <c r="F330" s="265" t="s">
        <v>224</v>
      </c>
    </row>
    <row r="331" spans="1:6">
      <c r="A331" s="285" t="s">
        <v>24</v>
      </c>
      <c r="B331" s="293">
        <v>0.84421935577541152</v>
      </c>
      <c r="C331" s="293">
        <v>9.0147705546417975E-2</v>
      </c>
      <c r="D331" s="293">
        <v>6.5632938678170452E-2</v>
      </c>
      <c r="E331" s="293">
        <v>0.8059370919906842</v>
      </c>
      <c r="F331" s="265" t="s">
        <v>224</v>
      </c>
    </row>
    <row r="332" spans="1:6">
      <c r="A332" s="285" t="s">
        <v>25</v>
      </c>
      <c r="B332" s="293">
        <v>0.60266573066353191</v>
      </c>
      <c r="C332" s="293">
        <v>0.31015129614903031</v>
      </c>
      <c r="D332" s="293">
        <v>8.7182973187437854E-2</v>
      </c>
      <c r="E332" s="293">
        <v>0.53548212993836886</v>
      </c>
      <c r="F332" s="265" t="s">
        <v>224</v>
      </c>
    </row>
    <row r="333" spans="1:6">
      <c r="A333" s="285" t="s">
        <v>26</v>
      </c>
      <c r="B333" s="293">
        <v>0.60266573066353191</v>
      </c>
      <c r="C333" s="293">
        <v>0.31015129614903031</v>
      </c>
      <c r="D333" s="293">
        <v>8.7182973187437854E-2</v>
      </c>
      <c r="E333" s="293">
        <v>0.53548212993836886</v>
      </c>
      <c r="F333" s="265" t="s">
        <v>224</v>
      </c>
    </row>
    <row r="334" spans="1:6">
      <c r="A334" s="285" t="s">
        <v>31</v>
      </c>
      <c r="B334" s="293">
        <v>0.84421935577541152</v>
      </c>
      <c r="C334" s="293">
        <v>9.0147705546417975E-2</v>
      </c>
      <c r="D334" s="293">
        <v>6.5632938678170452E-2</v>
      </c>
      <c r="E334" s="293">
        <v>0.8059370919906842</v>
      </c>
      <c r="F334" s="265" t="s">
        <v>224</v>
      </c>
    </row>
    <row r="335" spans="1:6">
      <c r="A335" s="285" t="s">
        <v>27</v>
      </c>
      <c r="B335" s="293">
        <v>0.60266573066353191</v>
      </c>
      <c r="C335" s="293">
        <v>0.31015129614903031</v>
      </c>
      <c r="D335" s="293">
        <v>8.7182973187437854E-2</v>
      </c>
      <c r="E335" s="293">
        <v>0.53548212993836886</v>
      </c>
      <c r="F335" s="265" t="s">
        <v>224</v>
      </c>
    </row>
    <row r="336" spans="1:6">
      <c r="A336" s="285" t="s">
        <v>28</v>
      </c>
      <c r="B336" s="293">
        <v>0.60266573066353191</v>
      </c>
      <c r="C336" s="293">
        <v>0.31015129614903031</v>
      </c>
      <c r="D336" s="293">
        <v>8.7182973187437854E-2</v>
      </c>
      <c r="E336" s="293">
        <v>0.53548212993836886</v>
      </c>
      <c r="F336" s="265" t="s">
        <v>224</v>
      </c>
    </row>
    <row r="337" spans="1:11">
      <c r="A337" s="285" t="s">
        <v>29</v>
      </c>
      <c r="B337" s="293">
        <v>0.60266573066353191</v>
      </c>
      <c r="C337" s="293">
        <v>0.31015129614903031</v>
      </c>
      <c r="D337" s="293">
        <v>8.7182973187437854E-2</v>
      </c>
      <c r="E337" s="293">
        <v>0.53548212993836886</v>
      </c>
      <c r="F337" s="265" t="s">
        <v>224</v>
      </c>
    </row>
    <row r="339" spans="1:11" ht="21" customHeight="1">
      <c r="A339" s="1" t="s">
        <v>1166</v>
      </c>
    </row>
    <row r="340" spans="1:11">
      <c r="A340" s="264" t="s">
        <v>1165</v>
      </c>
    </row>
    <row r="342" spans="1:11" ht="30">
      <c r="B342" s="284" t="s">
        <v>1164</v>
      </c>
    </row>
    <row r="343" spans="1:11">
      <c r="A343" s="285" t="s">
        <v>1164</v>
      </c>
      <c r="B343" s="266">
        <v>376135298.00727862</v>
      </c>
      <c r="C343" s="265"/>
    </row>
    <row r="345" spans="1:11" ht="21" customHeight="1">
      <c r="A345" s="1" t="s">
        <v>210</v>
      </c>
    </row>
    <row r="346" spans="1:11">
      <c r="A346" s="264" t="s">
        <v>224</v>
      </c>
    </row>
    <row r="347" spans="1:11">
      <c r="A347" s="264" t="s">
        <v>211</v>
      </c>
    </row>
    <row r="348" spans="1:11">
      <c r="A348" t="s">
        <v>212</v>
      </c>
    </row>
    <row r="349" spans="1:11">
      <c r="B349" s="284" t="s">
        <v>22</v>
      </c>
      <c r="C349" s="284" t="s">
        <v>23</v>
      </c>
      <c r="D349" s="284" t="s">
        <v>24</v>
      </c>
      <c r="E349" s="284" t="s">
        <v>25</v>
      </c>
      <c r="F349" s="284" t="s">
        <v>26</v>
      </c>
      <c r="G349" s="284" t="s">
        <v>31</v>
      </c>
      <c r="H349" s="284" t="s">
        <v>27</v>
      </c>
      <c r="I349" s="284" t="s">
        <v>28</v>
      </c>
      <c r="J349" s="284" t="s">
        <v>29</v>
      </c>
    </row>
    <row r="350" spans="1:11">
      <c r="A350" s="285" t="s">
        <v>213</v>
      </c>
      <c r="B350" s="268">
        <v>0.19278921811900199</v>
      </c>
      <c r="C350" s="268">
        <v>0.19278921811900199</v>
      </c>
      <c r="D350" s="268">
        <v>0.19278921811900199</v>
      </c>
      <c r="E350" s="268">
        <v>0.19278921811900199</v>
      </c>
      <c r="F350" s="268">
        <v>0.19278921811900199</v>
      </c>
      <c r="G350" s="268">
        <v>0.19278921811900199</v>
      </c>
      <c r="H350" s="268">
        <v>0.19278921811900199</v>
      </c>
      <c r="I350" s="268">
        <v>0.19278921811900199</v>
      </c>
      <c r="J350" s="268">
        <v>0.19278921811900199</v>
      </c>
      <c r="K350" s="265" t="s">
        <v>224</v>
      </c>
    </row>
    <row r="352" spans="1:11" ht="21" customHeight="1">
      <c r="A352" s="1" t="str">
        <f>"Loss adjustment factors and network use matrices for "&amp;CDCM!B7&amp;" in "&amp;CDCM!C7&amp;" ("&amp;CDCM!D7&amp;")"</f>
        <v>Loss adjustment factors and network use matrices for 0 in 0 (0)</v>
      </c>
    </row>
    <row r="353" spans="1:10">
      <c r="A353" s="264" t="s">
        <v>214</v>
      </c>
    </row>
    <row r="354" spans="1:10">
      <c r="A354" s="264" t="s">
        <v>215</v>
      </c>
    </row>
    <row r="356" spans="1:10" ht="21" customHeight="1">
      <c r="A356" s="1" t="s">
        <v>216</v>
      </c>
    </row>
    <row r="357" spans="1:10">
      <c r="A357" s="264" t="s">
        <v>217</v>
      </c>
    </row>
    <row r="358" spans="1:10">
      <c r="A358" s="269" t="s">
        <v>218</v>
      </c>
    </row>
    <row r="359" spans="1:10">
      <c r="A359" s="269" t="s">
        <v>219</v>
      </c>
    </row>
    <row r="360" spans="1:10">
      <c r="A360" s="270" t="s">
        <v>220</v>
      </c>
      <c r="B360" s="271" t="s">
        <v>221</v>
      </c>
      <c r="C360" s="271"/>
      <c r="D360" s="271"/>
      <c r="E360" s="271"/>
      <c r="F360" s="271"/>
      <c r="G360" s="271"/>
      <c r="H360" s="271"/>
      <c r="I360" s="270" t="s">
        <v>222</v>
      </c>
    </row>
    <row r="361" spans="1:10">
      <c r="A361" s="270" t="s">
        <v>223</v>
      </c>
      <c r="B361" s="271" t="s">
        <v>224</v>
      </c>
      <c r="C361" s="271"/>
      <c r="D361" s="271"/>
      <c r="E361" s="271"/>
      <c r="F361" s="271"/>
      <c r="G361" s="271"/>
      <c r="H361" s="271"/>
      <c r="I361" s="270" t="s">
        <v>225</v>
      </c>
    </row>
    <row r="363" spans="1:10">
      <c r="B363" s="296" t="s">
        <v>226</v>
      </c>
      <c r="C363" s="296"/>
      <c r="D363" s="296"/>
      <c r="E363" s="296"/>
      <c r="F363" s="296"/>
      <c r="G363" s="296"/>
      <c r="H363" s="296"/>
    </row>
    <row r="364" spans="1:10">
      <c r="B364" s="284" t="s">
        <v>23</v>
      </c>
      <c r="C364" s="284" t="s">
        <v>24</v>
      </c>
      <c r="D364" s="284" t="s">
        <v>25</v>
      </c>
      <c r="E364" s="284" t="s">
        <v>26</v>
      </c>
      <c r="F364" s="284" t="s">
        <v>27</v>
      </c>
      <c r="G364" s="284" t="s">
        <v>28</v>
      </c>
      <c r="H364" s="284" t="s">
        <v>29</v>
      </c>
      <c r="I364" s="284" t="s">
        <v>78</v>
      </c>
    </row>
    <row r="365" spans="1:10">
      <c r="A365" s="285" t="s">
        <v>54</v>
      </c>
      <c r="B365" s="272">
        <v>0</v>
      </c>
      <c r="C365" s="272">
        <v>0</v>
      </c>
      <c r="D365" s="272">
        <v>0</v>
      </c>
      <c r="E365" s="272">
        <v>0</v>
      </c>
      <c r="F365" s="272">
        <v>0</v>
      </c>
      <c r="G365" s="272">
        <v>0</v>
      </c>
      <c r="H365" s="272">
        <v>1</v>
      </c>
      <c r="I365" s="273">
        <f t="shared" ref="I365:I397" si="0">SUMPRODUCT($B365:$H365,$B$110:$H$110)</f>
        <v>1.0620000000000001</v>
      </c>
      <c r="J365" s="265"/>
    </row>
    <row r="366" spans="1:10">
      <c r="A366" s="285" t="s">
        <v>55</v>
      </c>
      <c r="B366" s="272">
        <v>0</v>
      </c>
      <c r="C366" s="272">
        <v>0</v>
      </c>
      <c r="D366" s="272">
        <v>0</v>
      </c>
      <c r="E366" s="272">
        <v>0</v>
      </c>
      <c r="F366" s="272">
        <v>0</v>
      </c>
      <c r="G366" s="272">
        <v>0</v>
      </c>
      <c r="H366" s="272">
        <v>1</v>
      </c>
      <c r="I366" s="273">
        <f t="shared" si="0"/>
        <v>1.0620000000000001</v>
      </c>
      <c r="J366" s="265"/>
    </row>
    <row r="367" spans="1:10">
      <c r="A367" s="285" t="s">
        <v>91</v>
      </c>
      <c r="B367" s="272">
        <v>0</v>
      </c>
      <c r="C367" s="272">
        <v>0</v>
      </c>
      <c r="D367" s="272">
        <v>0</v>
      </c>
      <c r="E367" s="272">
        <v>0</v>
      </c>
      <c r="F367" s="272">
        <v>0</v>
      </c>
      <c r="G367" s="272">
        <v>0</v>
      </c>
      <c r="H367" s="272">
        <v>1</v>
      </c>
      <c r="I367" s="273">
        <f t="shared" si="0"/>
        <v>1.0620000000000001</v>
      </c>
      <c r="J367" s="265"/>
    </row>
    <row r="368" spans="1:10">
      <c r="A368" s="285" t="s">
        <v>56</v>
      </c>
      <c r="B368" s="272">
        <v>0</v>
      </c>
      <c r="C368" s="272">
        <v>0</v>
      </c>
      <c r="D368" s="272">
        <v>0</v>
      </c>
      <c r="E368" s="272">
        <v>0</v>
      </c>
      <c r="F368" s="272">
        <v>0</v>
      </c>
      <c r="G368" s="272">
        <v>0</v>
      </c>
      <c r="H368" s="272">
        <v>1</v>
      </c>
      <c r="I368" s="273">
        <f t="shared" si="0"/>
        <v>1.0620000000000001</v>
      </c>
      <c r="J368" s="265"/>
    </row>
    <row r="369" spans="1:10">
      <c r="A369" s="285" t="s">
        <v>57</v>
      </c>
      <c r="B369" s="272">
        <v>0</v>
      </c>
      <c r="C369" s="272">
        <v>0</v>
      </c>
      <c r="D369" s="272">
        <v>0</v>
      </c>
      <c r="E369" s="272">
        <v>0</v>
      </c>
      <c r="F369" s="272">
        <v>0</v>
      </c>
      <c r="G369" s="272">
        <v>0</v>
      </c>
      <c r="H369" s="272">
        <v>1</v>
      </c>
      <c r="I369" s="273">
        <f t="shared" si="0"/>
        <v>1.0620000000000001</v>
      </c>
      <c r="J369" s="265"/>
    </row>
    <row r="370" spans="1:10">
      <c r="A370" s="285" t="s">
        <v>92</v>
      </c>
      <c r="B370" s="272">
        <v>0</v>
      </c>
      <c r="C370" s="272">
        <v>0</v>
      </c>
      <c r="D370" s="272">
        <v>0</v>
      </c>
      <c r="E370" s="272">
        <v>0</v>
      </c>
      <c r="F370" s="272">
        <v>0</v>
      </c>
      <c r="G370" s="272">
        <v>0</v>
      </c>
      <c r="H370" s="272">
        <v>1</v>
      </c>
      <c r="I370" s="273">
        <f t="shared" si="0"/>
        <v>1.0620000000000001</v>
      </c>
      <c r="J370" s="265"/>
    </row>
    <row r="371" spans="1:10">
      <c r="A371" s="285" t="s">
        <v>58</v>
      </c>
      <c r="B371" s="272">
        <v>0</v>
      </c>
      <c r="C371" s="272">
        <v>0</v>
      </c>
      <c r="D371" s="272">
        <v>0</v>
      </c>
      <c r="E371" s="272">
        <v>0</v>
      </c>
      <c r="F371" s="272">
        <v>0</v>
      </c>
      <c r="G371" s="272">
        <v>0</v>
      </c>
      <c r="H371" s="272">
        <v>1</v>
      </c>
      <c r="I371" s="273">
        <f t="shared" si="0"/>
        <v>1.0620000000000001</v>
      </c>
      <c r="J371" s="265"/>
    </row>
    <row r="372" spans="1:10">
      <c r="A372" s="285" t="s">
        <v>59</v>
      </c>
      <c r="B372" s="272">
        <v>0</v>
      </c>
      <c r="C372" s="272">
        <v>0</v>
      </c>
      <c r="D372" s="272">
        <v>0</v>
      </c>
      <c r="E372" s="272">
        <v>0</v>
      </c>
      <c r="F372" s="272">
        <v>0</v>
      </c>
      <c r="G372" s="272">
        <v>1</v>
      </c>
      <c r="H372" s="272">
        <v>0</v>
      </c>
      <c r="I372" s="273">
        <f t="shared" si="0"/>
        <v>1.0489999999999999</v>
      </c>
      <c r="J372" s="265"/>
    </row>
    <row r="373" spans="1:10">
      <c r="A373" s="285" t="s">
        <v>72</v>
      </c>
      <c r="B373" s="272">
        <v>0</v>
      </c>
      <c r="C373" s="272">
        <v>0</v>
      </c>
      <c r="D373" s="272">
        <v>0</v>
      </c>
      <c r="E373" s="272">
        <v>0</v>
      </c>
      <c r="F373" s="272">
        <v>1</v>
      </c>
      <c r="G373" s="272">
        <v>0</v>
      </c>
      <c r="H373" s="272">
        <v>0</v>
      </c>
      <c r="I373" s="273">
        <f t="shared" si="0"/>
        <v>1.038</v>
      </c>
      <c r="J373" s="265"/>
    </row>
    <row r="374" spans="1:10">
      <c r="A374" s="285" t="s">
        <v>1178</v>
      </c>
      <c r="B374" s="272">
        <v>0</v>
      </c>
      <c r="C374" s="272">
        <v>0</v>
      </c>
      <c r="D374" s="272">
        <v>0</v>
      </c>
      <c r="E374" s="272">
        <v>0</v>
      </c>
      <c r="F374" s="272">
        <v>0</v>
      </c>
      <c r="G374" s="272">
        <v>0</v>
      </c>
      <c r="H374" s="272">
        <v>1</v>
      </c>
      <c r="I374" s="273">
        <f t="shared" si="0"/>
        <v>1.0620000000000001</v>
      </c>
      <c r="J374" s="265"/>
    </row>
    <row r="375" spans="1:10">
      <c r="A375" s="285" t="s">
        <v>1177</v>
      </c>
      <c r="B375" s="272">
        <v>0</v>
      </c>
      <c r="C375" s="272">
        <v>0</v>
      </c>
      <c r="D375" s="272">
        <v>0</v>
      </c>
      <c r="E375" s="272">
        <v>0</v>
      </c>
      <c r="F375" s="272">
        <v>0</v>
      </c>
      <c r="G375" s="272">
        <v>0</v>
      </c>
      <c r="H375" s="272">
        <v>1</v>
      </c>
      <c r="I375" s="273">
        <f t="shared" si="0"/>
        <v>1.0620000000000001</v>
      </c>
      <c r="J375" s="265"/>
    </row>
    <row r="376" spans="1:10">
      <c r="A376" s="285" t="s">
        <v>60</v>
      </c>
      <c r="B376" s="272">
        <v>0</v>
      </c>
      <c r="C376" s="272">
        <v>0</v>
      </c>
      <c r="D376" s="272">
        <v>0</v>
      </c>
      <c r="E376" s="272">
        <v>0</v>
      </c>
      <c r="F376" s="272">
        <v>0</v>
      </c>
      <c r="G376" s="272">
        <v>0</v>
      </c>
      <c r="H376" s="272">
        <v>1</v>
      </c>
      <c r="I376" s="273">
        <f t="shared" si="0"/>
        <v>1.0620000000000001</v>
      </c>
      <c r="J376" s="265"/>
    </row>
    <row r="377" spans="1:10">
      <c r="A377" s="285" t="s">
        <v>61</v>
      </c>
      <c r="B377" s="272">
        <v>0</v>
      </c>
      <c r="C377" s="272">
        <v>0</v>
      </c>
      <c r="D377" s="272">
        <v>0</v>
      </c>
      <c r="E377" s="272">
        <v>0</v>
      </c>
      <c r="F377" s="272">
        <v>0</v>
      </c>
      <c r="G377" s="272">
        <v>1</v>
      </c>
      <c r="H377" s="272">
        <v>0</v>
      </c>
      <c r="I377" s="273">
        <f t="shared" si="0"/>
        <v>1.0489999999999999</v>
      </c>
      <c r="J377" s="265"/>
    </row>
    <row r="378" spans="1:10">
      <c r="A378" s="285" t="s">
        <v>73</v>
      </c>
      <c r="B378" s="272">
        <v>0</v>
      </c>
      <c r="C378" s="272">
        <v>0</v>
      </c>
      <c r="D378" s="272">
        <v>0</v>
      </c>
      <c r="E378" s="272">
        <v>0</v>
      </c>
      <c r="F378" s="272">
        <v>1</v>
      </c>
      <c r="G378" s="272">
        <v>0</v>
      </c>
      <c r="H378" s="272">
        <v>0</v>
      </c>
      <c r="I378" s="273">
        <f t="shared" si="0"/>
        <v>1.038</v>
      </c>
      <c r="J378" s="265"/>
    </row>
    <row r="379" spans="1:10">
      <c r="A379" s="285" t="s">
        <v>93</v>
      </c>
      <c r="B379" s="272">
        <v>0</v>
      </c>
      <c r="C379" s="272">
        <v>0</v>
      </c>
      <c r="D379" s="272">
        <v>0</v>
      </c>
      <c r="E379" s="272">
        <v>0</v>
      </c>
      <c r="F379" s="272">
        <v>0</v>
      </c>
      <c r="G379" s="272">
        <v>0</v>
      </c>
      <c r="H379" s="272">
        <v>1</v>
      </c>
      <c r="I379" s="273">
        <f t="shared" si="0"/>
        <v>1.0620000000000001</v>
      </c>
      <c r="J379" s="265"/>
    </row>
    <row r="380" spans="1:10">
      <c r="A380" s="285" t="s">
        <v>94</v>
      </c>
      <c r="B380" s="272">
        <v>0</v>
      </c>
      <c r="C380" s="272">
        <v>0</v>
      </c>
      <c r="D380" s="272">
        <v>0</v>
      </c>
      <c r="E380" s="272">
        <v>0</v>
      </c>
      <c r="F380" s="272">
        <v>0</v>
      </c>
      <c r="G380" s="272">
        <v>0</v>
      </c>
      <c r="H380" s="272">
        <v>1</v>
      </c>
      <c r="I380" s="273">
        <f t="shared" si="0"/>
        <v>1.0620000000000001</v>
      </c>
      <c r="J380" s="265"/>
    </row>
    <row r="381" spans="1:10">
      <c r="A381" s="285" t="s">
        <v>95</v>
      </c>
      <c r="B381" s="272">
        <v>0</v>
      </c>
      <c r="C381" s="272">
        <v>0</v>
      </c>
      <c r="D381" s="272">
        <v>0</v>
      </c>
      <c r="E381" s="272">
        <v>0</v>
      </c>
      <c r="F381" s="272">
        <v>0</v>
      </c>
      <c r="G381" s="272">
        <v>0</v>
      </c>
      <c r="H381" s="272">
        <v>1</v>
      </c>
      <c r="I381" s="273">
        <f t="shared" si="0"/>
        <v>1.0620000000000001</v>
      </c>
      <c r="J381" s="265"/>
    </row>
    <row r="382" spans="1:10">
      <c r="A382" s="285" t="s">
        <v>96</v>
      </c>
      <c r="B382" s="272">
        <v>0</v>
      </c>
      <c r="C382" s="272">
        <v>0</v>
      </c>
      <c r="D382" s="272">
        <v>0</v>
      </c>
      <c r="E382" s="272">
        <v>0</v>
      </c>
      <c r="F382" s="272">
        <v>0</v>
      </c>
      <c r="G382" s="272">
        <v>0</v>
      </c>
      <c r="H382" s="272">
        <v>1</v>
      </c>
      <c r="I382" s="273">
        <f t="shared" si="0"/>
        <v>1.0620000000000001</v>
      </c>
      <c r="J382" s="265"/>
    </row>
    <row r="383" spans="1:10">
      <c r="A383" s="285" t="s">
        <v>97</v>
      </c>
      <c r="B383" s="272">
        <v>0</v>
      </c>
      <c r="C383" s="272">
        <v>0</v>
      </c>
      <c r="D383" s="272">
        <v>0</v>
      </c>
      <c r="E383" s="272">
        <v>0</v>
      </c>
      <c r="F383" s="272">
        <v>0</v>
      </c>
      <c r="G383" s="272">
        <v>0</v>
      </c>
      <c r="H383" s="272">
        <v>1</v>
      </c>
      <c r="I383" s="273">
        <f t="shared" si="0"/>
        <v>1.0620000000000001</v>
      </c>
      <c r="J383" s="265"/>
    </row>
    <row r="384" spans="1:10">
      <c r="A384" s="285" t="s">
        <v>1176</v>
      </c>
      <c r="B384" s="272">
        <v>0</v>
      </c>
      <c r="C384" s="272">
        <v>0</v>
      </c>
      <c r="D384" s="272">
        <v>0</v>
      </c>
      <c r="E384" s="272">
        <v>0</v>
      </c>
      <c r="F384" s="272">
        <v>0</v>
      </c>
      <c r="G384" s="272">
        <v>0</v>
      </c>
      <c r="H384" s="272">
        <v>1</v>
      </c>
      <c r="I384" s="273">
        <f t="shared" si="0"/>
        <v>1.0620000000000001</v>
      </c>
      <c r="J384" s="265"/>
    </row>
    <row r="385" spans="1:10">
      <c r="A385" s="285" t="s">
        <v>62</v>
      </c>
      <c r="B385" s="272">
        <v>0</v>
      </c>
      <c r="C385" s="272">
        <v>0</v>
      </c>
      <c r="D385" s="272">
        <v>0</v>
      </c>
      <c r="E385" s="272">
        <v>0</v>
      </c>
      <c r="F385" s="272">
        <v>0</v>
      </c>
      <c r="G385" s="272">
        <v>1</v>
      </c>
      <c r="H385" s="272">
        <v>0</v>
      </c>
      <c r="I385" s="273">
        <f t="shared" si="0"/>
        <v>1.0489999999999999</v>
      </c>
      <c r="J385" s="265"/>
    </row>
    <row r="386" spans="1:10">
      <c r="A386" s="285" t="s">
        <v>63</v>
      </c>
      <c r="B386" s="272">
        <v>0</v>
      </c>
      <c r="C386" s="272">
        <v>0</v>
      </c>
      <c r="D386" s="272">
        <v>0</v>
      </c>
      <c r="E386" s="272">
        <v>0</v>
      </c>
      <c r="F386" s="272">
        <v>0</v>
      </c>
      <c r="G386" s="272">
        <v>0</v>
      </c>
      <c r="H386" s="272">
        <v>1</v>
      </c>
      <c r="I386" s="273">
        <f t="shared" si="0"/>
        <v>1.0620000000000001</v>
      </c>
      <c r="J386" s="265"/>
    </row>
    <row r="387" spans="1:10">
      <c r="A387" s="285" t="s">
        <v>1516</v>
      </c>
      <c r="B387" s="272">
        <v>0</v>
      </c>
      <c r="C387" s="272">
        <v>0</v>
      </c>
      <c r="D387" s="272">
        <v>0</v>
      </c>
      <c r="E387" s="272">
        <v>0</v>
      </c>
      <c r="F387" s="272">
        <v>0</v>
      </c>
      <c r="G387" s="272">
        <v>0</v>
      </c>
      <c r="H387" s="272">
        <v>1</v>
      </c>
      <c r="I387" s="273">
        <f t="shared" si="0"/>
        <v>1.0620000000000001</v>
      </c>
      <c r="J387" s="265"/>
    </row>
    <row r="388" spans="1:10">
      <c r="A388" s="285" t="s">
        <v>64</v>
      </c>
      <c r="B388" s="272">
        <v>0</v>
      </c>
      <c r="C388" s="272">
        <v>0</v>
      </c>
      <c r="D388" s="272">
        <v>0</v>
      </c>
      <c r="E388" s="272">
        <v>0</v>
      </c>
      <c r="F388" s="272">
        <v>0</v>
      </c>
      <c r="G388" s="272">
        <v>0</v>
      </c>
      <c r="H388" s="272">
        <v>1</v>
      </c>
      <c r="I388" s="273">
        <f t="shared" si="0"/>
        <v>1.0620000000000001</v>
      </c>
      <c r="J388" s="265"/>
    </row>
    <row r="389" spans="1:10">
      <c r="A389" s="285" t="s">
        <v>1517</v>
      </c>
      <c r="B389" s="272">
        <v>0</v>
      </c>
      <c r="C389" s="272">
        <v>0</v>
      </c>
      <c r="D389" s="272">
        <v>0</v>
      </c>
      <c r="E389" s="272">
        <v>0</v>
      </c>
      <c r="F389" s="272">
        <v>0</v>
      </c>
      <c r="G389" s="272">
        <v>0</v>
      </c>
      <c r="H389" s="272">
        <v>1</v>
      </c>
      <c r="I389" s="273">
        <f t="shared" si="0"/>
        <v>1.0620000000000001</v>
      </c>
      <c r="J389" s="265"/>
    </row>
    <row r="390" spans="1:10">
      <c r="A390" s="285" t="s">
        <v>65</v>
      </c>
      <c r="B390" s="272">
        <v>0</v>
      </c>
      <c r="C390" s="272">
        <v>0</v>
      </c>
      <c r="D390" s="272">
        <v>0</v>
      </c>
      <c r="E390" s="272">
        <v>0</v>
      </c>
      <c r="F390" s="272">
        <v>0</v>
      </c>
      <c r="G390" s="272">
        <v>1</v>
      </c>
      <c r="H390" s="272">
        <v>0</v>
      </c>
      <c r="I390" s="273">
        <f t="shared" si="0"/>
        <v>1.0489999999999999</v>
      </c>
      <c r="J390" s="265"/>
    </row>
    <row r="391" spans="1:10">
      <c r="A391" s="285" t="s">
        <v>1518</v>
      </c>
      <c r="B391" s="272">
        <v>0</v>
      </c>
      <c r="C391" s="272">
        <v>0</v>
      </c>
      <c r="D391" s="272">
        <v>0</v>
      </c>
      <c r="E391" s="272">
        <v>0</v>
      </c>
      <c r="F391" s="272">
        <v>0</v>
      </c>
      <c r="G391" s="272">
        <v>1</v>
      </c>
      <c r="H391" s="272">
        <v>0</v>
      </c>
      <c r="I391" s="273">
        <f t="shared" si="0"/>
        <v>1.0489999999999999</v>
      </c>
      <c r="J391" s="265"/>
    </row>
    <row r="392" spans="1:10">
      <c r="A392" s="285" t="s">
        <v>66</v>
      </c>
      <c r="B392" s="272">
        <v>0</v>
      </c>
      <c r="C392" s="272">
        <v>0</v>
      </c>
      <c r="D392" s="272">
        <v>0</v>
      </c>
      <c r="E392" s="272">
        <v>0</v>
      </c>
      <c r="F392" s="272">
        <v>0</v>
      </c>
      <c r="G392" s="272">
        <v>1</v>
      </c>
      <c r="H392" s="272">
        <v>0</v>
      </c>
      <c r="I392" s="273">
        <f t="shared" si="0"/>
        <v>1.0489999999999999</v>
      </c>
      <c r="J392" s="265"/>
    </row>
    <row r="393" spans="1:10">
      <c r="A393" s="285" t="s">
        <v>1519</v>
      </c>
      <c r="B393" s="272">
        <v>0</v>
      </c>
      <c r="C393" s="272">
        <v>0</v>
      </c>
      <c r="D393" s="272">
        <v>0</v>
      </c>
      <c r="E393" s="272">
        <v>0</v>
      </c>
      <c r="F393" s="272">
        <v>0</v>
      </c>
      <c r="G393" s="272">
        <v>1</v>
      </c>
      <c r="H393" s="272">
        <v>0</v>
      </c>
      <c r="I393" s="273">
        <f t="shared" si="0"/>
        <v>1.0489999999999999</v>
      </c>
      <c r="J393" s="265"/>
    </row>
    <row r="394" spans="1:10">
      <c r="A394" s="285" t="s">
        <v>74</v>
      </c>
      <c r="B394" s="272">
        <v>0</v>
      </c>
      <c r="C394" s="272">
        <v>0</v>
      </c>
      <c r="D394" s="272">
        <v>0</v>
      </c>
      <c r="E394" s="272">
        <v>0</v>
      </c>
      <c r="F394" s="272">
        <v>1</v>
      </c>
      <c r="G394" s="272">
        <v>0</v>
      </c>
      <c r="H394" s="272">
        <v>0</v>
      </c>
      <c r="I394" s="273">
        <f t="shared" si="0"/>
        <v>1.038</v>
      </c>
      <c r="J394" s="265"/>
    </row>
    <row r="395" spans="1:10">
      <c r="A395" s="285" t="s">
        <v>1520</v>
      </c>
      <c r="B395" s="272">
        <v>0</v>
      </c>
      <c r="C395" s="272">
        <v>0</v>
      </c>
      <c r="D395" s="272">
        <v>0</v>
      </c>
      <c r="E395" s="272">
        <v>0</v>
      </c>
      <c r="F395" s="272">
        <v>1</v>
      </c>
      <c r="G395" s="272">
        <v>0</v>
      </c>
      <c r="H395" s="272">
        <v>0</v>
      </c>
      <c r="I395" s="273">
        <f t="shared" si="0"/>
        <v>1.038</v>
      </c>
      <c r="J395" s="265"/>
    </row>
    <row r="396" spans="1:10">
      <c r="A396" s="285" t="s">
        <v>75</v>
      </c>
      <c r="B396" s="272">
        <v>0</v>
      </c>
      <c r="C396" s="272">
        <v>0</v>
      </c>
      <c r="D396" s="272">
        <v>0</v>
      </c>
      <c r="E396" s="272">
        <v>0</v>
      </c>
      <c r="F396" s="272">
        <v>1</v>
      </c>
      <c r="G396" s="272">
        <v>0</v>
      </c>
      <c r="H396" s="272">
        <v>0</v>
      </c>
      <c r="I396" s="273">
        <f t="shared" si="0"/>
        <v>1.038</v>
      </c>
      <c r="J396" s="265"/>
    </row>
    <row r="397" spans="1:10">
      <c r="A397" s="285" t="s">
        <v>1521</v>
      </c>
      <c r="B397" s="272">
        <v>0</v>
      </c>
      <c r="C397" s="272">
        <v>0</v>
      </c>
      <c r="D397" s="272">
        <v>0</v>
      </c>
      <c r="E397" s="272">
        <v>0</v>
      </c>
      <c r="F397" s="272">
        <v>1</v>
      </c>
      <c r="G397" s="272">
        <v>0</v>
      </c>
      <c r="H397" s="272">
        <v>0</v>
      </c>
      <c r="I397" s="273">
        <f t="shared" si="0"/>
        <v>1.038</v>
      </c>
      <c r="J397" s="265"/>
    </row>
    <row r="399" spans="1:10" ht="21" customHeight="1">
      <c r="A399" s="1" t="s">
        <v>227</v>
      </c>
    </row>
    <row r="401" spans="1:9">
      <c r="B401" s="284" t="s">
        <v>23</v>
      </c>
      <c r="C401" s="284" t="s">
        <v>24</v>
      </c>
      <c r="D401" s="284" t="s">
        <v>25</v>
      </c>
      <c r="E401" s="284" t="s">
        <v>26</v>
      </c>
      <c r="F401" s="284" t="s">
        <v>27</v>
      </c>
      <c r="G401" s="284" t="s">
        <v>28</v>
      </c>
      <c r="H401" s="284" t="s">
        <v>29</v>
      </c>
    </row>
    <row r="402" spans="1:9">
      <c r="A402" s="285" t="s">
        <v>23</v>
      </c>
      <c r="B402" s="272">
        <v>1</v>
      </c>
      <c r="C402" s="272">
        <v>0</v>
      </c>
      <c r="D402" s="272">
        <v>0</v>
      </c>
      <c r="E402" s="272">
        <v>0</v>
      </c>
      <c r="F402" s="272">
        <v>0</v>
      </c>
      <c r="G402" s="272">
        <v>0</v>
      </c>
      <c r="H402" s="272">
        <v>0</v>
      </c>
      <c r="I402" s="265"/>
    </row>
    <row r="403" spans="1:9">
      <c r="A403" s="285" t="s">
        <v>24</v>
      </c>
      <c r="B403" s="272">
        <v>0</v>
      </c>
      <c r="C403" s="272">
        <v>1</v>
      </c>
      <c r="D403" s="272">
        <v>0</v>
      </c>
      <c r="E403" s="272">
        <v>0</v>
      </c>
      <c r="F403" s="272">
        <v>0</v>
      </c>
      <c r="G403" s="272">
        <v>0</v>
      </c>
      <c r="H403" s="272">
        <v>0</v>
      </c>
      <c r="I403" s="265"/>
    </row>
    <row r="404" spans="1:9">
      <c r="A404" s="285" t="s">
        <v>25</v>
      </c>
      <c r="B404" s="272">
        <v>0</v>
      </c>
      <c r="C404" s="272">
        <v>0</v>
      </c>
      <c r="D404" s="272">
        <v>1</v>
      </c>
      <c r="E404" s="272">
        <v>0</v>
      </c>
      <c r="F404" s="272">
        <v>0</v>
      </c>
      <c r="G404" s="272">
        <v>0</v>
      </c>
      <c r="H404" s="272">
        <v>0</v>
      </c>
      <c r="I404" s="265"/>
    </row>
    <row r="405" spans="1:9">
      <c r="A405" s="285" t="s">
        <v>26</v>
      </c>
      <c r="B405" s="272">
        <v>0</v>
      </c>
      <c r="C405" s="272">
        <v>0</v>
      </c>
      <c r="D405" s="272">
        <v>0</v>
      </c>
      <c r="E405" s="272">
        <v>1</v>
      </c>
      <c r="F405" s="272">
        <v>0</v>
      </c>
      <c r="G405" s="272">
        <v>0</v>
      </c>
      <c r="H405" s="272">
        <v>0</v>
      </c>
      <c r="I405" s="265"/>
    </row>
    <row r="406" spans="1:9">
      <c r="A406" s="285" t="s">
        <v>31</v>
      </c>
      <c r="B406" s="272">
        <v>0</v>
      </c>
      <c r="C406" s="272">
        <v>0</v>
      </c>
      <c r="D406" s="272">
        <v>0</v>
      </c>
      <c r="E406" s="272">
        <v>1</v>
      </c>
      <c r="F406" s="272">
        <v>0</v>
      </c>
      <c r="G406" s="272">
        <v>0</v>
      </c>
      <c r="H406" s="272">
        <v>0</v>
      </c>
      <c r="I406" s="265"/>
    </row>
    <row r="407" spans="1:9">
      <c r="A407" s="285" t="s">
        <v>27</v>
      </c>
      <c r="B407" s="272">
        <v>0</v>
      </c>
      <c r="C407" s="272">
        <v>0</v>
      </c>
      <c r="D407" s="272">
        <v>0</v>
      </c>
      <c r="E407" s="272">
        <v>0</v>
      </c>
      <c r="F407" s="272">
        <v>1</v>
      </c>
      <c r="G407" s="272">
        <v>0</v>
      </c>
      <c r="H407" s="272">
        <v>0</v>
      </c>
      <c r="I407" s="265"/>
    </row>
    <row r="408" spans="1:9">
      <c r="A408" s="285" t="s">
        <v>28</v>
      </c>
      <c r="B408" s="272">
        <v>0</v>
      </c>
      <c r="C408" s="272">
        <v>0</v>
      </c>
      <c r="D408" s="272">
        <v>0</v>
      </c>
      <c r="E408" s="272">
        <v>0</v>
      </c>
      <c r="F408" s="272">
        <v>0</v>
      </c>
      <c r="G408" s="272">
        <v>1</v>
      </c>
      <c r="H408" s="272">
        <v>0</v>
      </c>
      <c r="I408" s="265"/>
    </row>
    <row r="409" spans="1:9">
      <c r="A409" s="285" t="s">
        <v>29</v>
      </c>
      <c r="B409" s="272">
        <v>0</v>
      </c>
      <c r="C409" s="272">
        <v>0</v>
      </c>
      <c r="D409" s="272">
        <v>0</v>
      </c>
      <c r="E409" s="272">
        <v>0</v>
      </c>
      <c r="F409" s="272">
        <v>0</v>
      </c>
      <c r="G409" s="272">
        <v>0</v>
      </c>
      <c r="H409" s="272">
        <v>1</v>
      </c>
      <c r="I409" s="265"/>
    </row>
    <row r="411" spans="1:9" ht="21" customHeight="1">
      <c r="A411" s="1" t="s">
        <v>228</v>
      </c>
    </row>
    <row r="412" spans="1:9">
      <c r="A412" s="264" t="s">
        <v>217</v>
      </c>
    </row>
    <row r="413" spans="1:9">
      <c r="A413" s="269" t="s">
        <v>229</v>
      </c>
    </row>
    <row r="414" spans="1:9">
      <c r="A414" s="269" t="s">
        <v>219</v>
      </c>
    </row>
    <row r="415" spans="1:9">
      <c r="A415" s="264" t="s">
        <v>230</v>
      </c>
    </row>
    <row r="417" spans="1:3" ht="45">
      <c r="B417" s="284" t="s">
        <v>231</v>
      </c>
    </row>
    <row r="418" spans="1:3">
      <c r="A418" s="285" t="s">
        <v>23</v>
      </c>
      <c r="B418" s="273">
        <f t="shared" ref="B418:B425" si="1">SUMPRODUCT($B402:$H402,$B$110:$H$110)</f>
        <v>1.002</v>
      </c>
      <c r="C418" s="265"/>
    </row>
    <row r="419" spans="1:3">
      <c r="A419" s="285" t="s">
        <v>24</v>
      </c>
      <c r="B419" s="273">
        <f t="shared" si="1"/>
        <v>1.006</v>
      </c>
      <c r="C419" s="265"/>
    </row>
    <row r="420" spans="1:3">
      <c r="A420" s="285" t="s">
        <v>25</v>
      </c>
      <c r="B420" s="273">
        <f t="shared" si="1"/>
        <v>1.012</v>
      </c>
      <c r="C420" s="265"/>
    </row>
    <row r="421" spans="1:3">
      <c r="A421" s="285" t="s">
        <v>26</v>
      </c>
      <c r="B421" s="273">
        <f t="shared" si="1"/>
        <v>1.0209999999999999</v>
      </c>
      <c r="C421" s="265"/>
    </row>
    <row r="422" spans="1:3">
      <c r="A422" s="285" t="s">
        <v>31</v>
      </c>
      <c r="B422" s="273">
        <f t="shared" si="1"/>
        <v>1.0209999999999999</v>
      </c>
      <c r="C422" s="265"/>
    </row>
    <row r="423" spans="1:3">
      <c r="A423" s="285" t="s">
        <v>27</v>
      </c>
      <c r="B423" s="273">
        <f t="shared" si="1"/>
        <v>1.038</v>
      </c>
      <c r="C423" s="265"/>
    </row>
    <row r="424" spans="1:3">
      <c r="A424" s="285" t="s">
        <v>28</v>
      </c>
      <c r="B424" s="273">
        <f t="shared" si="1"/>
        <v>1.0489999999999999</v>
      </c>
      <c r="C424" s="265"/>
    </row>
    <row r="425" spans="1:3">
      <c r="A425" s="285" t="s">
        <v>29</v>
      </c>
      <c r="B425" s="273">
        <f t="shared" si="1"/>
        <v>1.0620000000000001</v>
      </c>
      <c r="C425" s="265"/>
    </row>
    <row r="427" spans="1:3" ht="21" customHeight="1">
      <c r="A427" s="1" t="s">
        <v>232</v>
      </c>
    </row>
    <row r="428" spans="1:3">
      <c r="A428" s="264" t="s">
        <v>217</v>
      </c>
    </row>
    <row r="429" spans="1:3">
      <c r="A429" s="269" t="s">
        <v>233</v>
      </c>
    </row>
    <row r="430" spans="1:3">
      <c r="A430" s="264" t="s">
        <v>234</v>
      </c>
    </row>
    <row r="431" spans="1:3">
      <c r="A431" s="264" t="s">
        <v>235</v>
      </c>
    </row>
    <row r="433" spans="1:11">
      <c r="B433" s="284" t="s">
        <v>22</v>
      </c>
      <c r="C433" s="284" t="s">
        <v>23</v>
      </c>
      <c r="D433" s="284" t="s">
        <v>24</v>
      </c>
      <c r="E433" s="284" t="s">
        <v>25</v>
      </c>
      <c r="F433" s="284" t="s">
        <v>26</v>
      </c>
      <c r="G433" s="284" t="s">
        <v>31</v>
      </c>
      <c r="H433" s="284" t="s">
        <v>27</v>
      </c>
      <c r="I433" s="284" t="s">
        <v>28</v>
      </c>
      <c r="J433" s="284" t="s">
        <v>29</v>
      </c>
    </row>
    <row r="434" spans="1:11" ht="30">
      <c r="A434" s="285" t="s">
        <v>236</v>
      </c>
      <c r="B434" s="267">
        <v>1</v>
      </c>
      <c r="C434" s="274">
        <f>$B$418</f>
        <v>1.002</v>
      </c>
      <c r="D434" s="274">
        <f>$B$419</f>
        <v>1.006</v>
      </c>
      <c r="E434" s="274">
        <f>$B$420</f>
        <v>1.012</v>
      </c>
      <c r="F434" s="274">
        <f>$B$421</f>
        <v>1.0209999999999999</v>
      </c>
      <c r="G434" s="274">
        <f>$B$422</f>
        <v>1.0209999999999999</v>
      </c>
      <c r="H434" s="274">
        <f>$B$423</f>
        <v>1.038</v>
      </c>
      <c r="I434" s="274">
        <f>$B$424</f>
        <v>1.0489999999999999</v>
      </c>
      <c r="J434" s="274">
        <f>$B$425</f>
        <v>1.0620000000000001</v>
      </c>
      <c r="K434" s="265"/>
    </row>
    <row r="436" spans="1:11" ht="21" customHeight="1">
      <c r="A436" s="1" t="s">
        <v>237</v>
      </c>
    </row>
    <row r="437" spans="1:11">
      <c r="A437" s="264" t="s">
        <v>1163</v>
      </c>
    </row>
    <row r="438" spans="1:11">
      <c r="A438" s="264" t="s">
        <v>1162</v>
      </c>
    </row>
    <row r="439" spans="1:11">
      <c r="A439" s="264" t="s">
        <v>1161</v>
      </c>
    </row>
    <row r="441" spans="1:11">
      <c r="B441" s="284" t="s">
        <v>22</v>
      </c>
      <c r="C441" s="284" t="s">
        <v>23</v>
      </c>
      <c r="D441" s="284" t="s">
        <v>24</v>
      </c>
      <c r="E441" s="284" t="s">
        <v>25</v>
      </c>
      <c r="F441" s="284" t="s">
        <v>26</v>
      </c>
      <c r="G441" s="284" t="s">
        <v>27</v>
      </c>
      <c r="H441" s="284" t="s">
        <v>28</v>
      </c>
      <c r="I441" s="284" t="s">
        <v>29</v>
      </c>
    </row>
    <row r="442" spans="1:11">
      <c r="A442" s="285" t="s">
        <v>54</v>
      </c>
      <c r="B442" s="267">
        <v>1</v>
      </c>
      <c r="C442" s="267">
        <v>1</v>
      </c>
      <c r="D442" s="267">
        <v>1</v>
      </c>
      <c r="E442" s="267">
        <v>1</v>
      </c>
      <c r="F442" s="267">
        <v>1</v>
      </c>
      <c r="G442" s="267">
        <v>1</v>
      </c>
      <c r="H442" s="267">
        <v>1</v>
      </c>
      <c r="I442" s="267">
        <v>1</v>
      </c>
      <c r="J442" s="265"/>
    </row>
    <row r="443" spans="1:11">
      <c r="A443" s="285" t="s">
        <v>55</v>
      </c>
      <c r="B443" s="267">
        <v>1</v>
      </c>
      <c r="C443" s="267">
        <v>1</v>
      </c>
      <c r="D443" s="267">
        <v>1</v>
      </c>
      <c r="E443" s="267">
        <v>1</v>
      </c>
      <c r="F443" s="267">
        <v>1</v>
      </c>
      <c r="G443" s="267">
        <v>1</v>
      </c>
      <c r="H443" s="267">
        <v>1</v>
      </c>
      <c r="I443" s="267">
        <v>1</v>
      </c>
      <c r="J443" s="265"/>
    </row>
    <row r="444" spans="1:11">
      <c r="A444" s="285" t="s">
        <v>91</v>
      </c>
      <c r="B444" s="267">
        <v>1</v>
      </c>
      <c r="C444" s="267">
        <v>1</v>
      </c>
      <c r="D444" s="267">
        <v>1</v>
      </c>
      <c r="E444" s="267">
        <v>1</v>
      </c>
      <c r="F444" s="267">
        <v>1</v>
      </c>
      <c r="G444" s="267">
        <v>1</v>
      </c>
      <c r="H444" s="267">
        <v>1</v>
      </c>
      <c r="I444" s="267">
        <v>1</v>
      </c>
      <c r="J444" s="265"/>
    </row>
    <row r="445" spans="1:11">
      <c r="A445" s="285" t="s">
        <v>56</v>
      </c>
      <c r="B445" s="267">
        <v>1</v>
      </c>
      <c r="C445" s="267">
        <v>1</v>
      </c>
      <c r="D445" s="267">
        <v>1</v>
      </c>
      <c r="E445" s="267">
        <v>1</v>
      </c>
      <c r="F445" s="267">
        <v>1</v>
      </c>
      <c r="G445" s="267">
        <v>1</v>
      </c>
      <c r="H445" s="267">
        <v>1</v>
      </c>
      <c r="I445" s="267">
        <v>1</v>
      </c>
      <c r="J445" s="265"/>
    </row>
    <row r="446" spans="1:11">
      <c r="A446" s="285" t="s">
        <v>57</v>
      </c>
      <c r="B446" s="267">
        <v>1</v>
      </c>
      <c r="C446" s="267">
        <v>1</v>
      </c>
      <c r="D446" s="267">
        <v>1</v>
      </c>
      <c r="E446" s="267">
        <v>1</v>
      </c>
      <c r="F446" s="267">
        <v>1</v>
      </c>
      <c r="G446" s="267">
        <v>1</v>
      </c>
      <c r="H446" s="267">
        <v>1</v>
      </c>
      <c r="I446" s="267">
        <v>1</v>
      </c>
      <c r="J446" s="265"/>
    </row>
    <row r="447" spans="1:11">
      <c r="A447" s="285" t="s">
        <v>92</v>
      </c>
      <c r="B447" s="267">
        <v>1</v>
      </c>
      <c r="C447" s="267">
        <v>1</v>
      </c>
      <c r="D447" s="267">
        <v>1</v>
      </c>
      <c r="E447" s="267">
        <v>1</v>
      </c>
      <c r="F447" s="267">
        <v>1</v>
      </c>
      <c r="G447" s="267">
        <v>1</v>
      </c>
      <c r="H447" s="267">
        <v>1</v>
      </c>
      <c r="I447" s="267">
        <v>1</v>
      </c>
      <c r="J447" s="265"/>
    </row>
    <row r="448" spans="1:11">
      <c r="A448" s="285" t="s">
        <v>58</v>
      </c>
      <c r="B448" s="267">
        <v>1</v>
      </c>
      <c r="C448" s="267">
        <v>1</v>
      </c>
      <c r="D448" s="267">
        <v>1</v>
      </c>
      <c r="E448" s="267">
        <v>1</v>
      </c>
      <c r="F448" s="267">
        <v>1</v>
      </c>
      <c r="G448" s="267">
        <v>1</v>
      </c>
      <c r="H448" s="267">
        <v>1</v>
      </c>
      <c r="I448" s="267">
        <v>1</v>
      </c>
      <c r="J448" s="265"/>
    </row>
    <row r="449" spans="1:10">
      <c r="A449" s="285" t="s">
        <v>59</v>
      </c>
      <c r="B449" s="267">
        <v>1</v>
      </c>
      <c r="C449" s="267">
        <v>1</v>
      </c>
      <c r="D449" s="267">
        <v>1</v>
      </c>
      <c r="E449" s="267">
        <v>1</v>
      </c>
      <c r="F449" s="267">
        <v>1</v>
      </c>
      <c r="G449" s="267">
        <v>1</v>
      </c>
      <c r="H449" s="267">
        <v>1</v>
      </c>
      <c r="I449" s="267">
        <v>0</v>
      </c>
      <c r="J449" s="265"/>
    </row>
    <row r="450" spans="1:10">
      <c r="A450" s="285" t="s">
        <v>72</v>
      </c>
      <c r="B450" s="267">
        <v>1</v>
      </c>
      <c r="C450" s="267">
        <v>1</v>
      </c>
      <c r="D450" s="267">
        <v>1</v>
      </c>
      <c r="E450" s="267">
        <v>1</v>
      </c>
      <c r="F450" s="267">
        <v>1</v>
      </c>
      <c r="G450" s="267">
        <v>1</v>
      </c>
      <c r="H450" s="267">
        <v>0</v>
      </c>
      <c r="I450" s="267">
        <v>0</v>
      </c>
      <c r="J450" s="265"/>
    </row>
    <row r="451" spans="1:10">
      <c r="A451" s="285" t="s">
        <v>1178</v>
      </c>
      <c r="B451" s="267">
        <v>1</v>
      </c>
      <c r="C451" s="267">
        <v>1</v>
      </c>
      <c r="D451" s="267">
        <v>1</v>
      </c>
      <c r="E451" s="267">
        <v>1</v>
      </c>
      <c r="F451" s="267">
        <v>1</v>
      </c>
      <c r="G451" s="267">
        <v>1</v>
      </c>
      <c r="H451" s="267">
        <v>1</v>
      </c>
      <c r="I451" s="267">
        <v>1</v>
      </c>
      <c r="J451" s="265"/>
    </row>
    <row r="452" spans="1:10">
      <c r="A452" s="285" t="s">
        <v>1177</v>
      </c>
      <c r="B452" s="267">
        <v>1</v>
      </c>
      <c r="C452" s="267">
        <v>1</v>
      </c>
      <c r="D452" s="267">
        <v>1</v>
      </c>
      <c r="E452" s="267">
        <v>1</v>
      </c>
      <c r="F452" s="267">
        <v>1</v>
      </c>
      <c r="G452" s="267">
        <v>1</v>
      </c>
      <c r="H452" s="267">
        <v>1</v>
      </c>
      <c r="I452" s="267">
        <v>1</v>
      </c>
      <c r="J452" s="265"/>
    </row>
    <row r="453" spans="1:10">
      <c r="A453" s="285" t="s">
        <v>60</v>
      </c>
      <c r="B453" s="267">
        <v>1</v>
      </c>
      <c r="C453" s="267">
        <v>1</v>
      </c>
      <c r="D453" s="267">
        <v>1</v>
      </c>
      <c r="E453" s="267">
        <v>1</v>
      </c>
      <c r="F453" s="267">
        <v>1</v>
      </c>
      <c r="G453" s="267">
        <v>1</v>
      </c>
      <c r="H453" s="267">
        <v>1</v>
      </c>
      <c r="I453" s="267">
        <v>1</v>
      </c>
      <c r="J453" s="265"/>
    </row>
    <row r="454" spans="1:10">
      <c r="A454" s="285" t="s">
        <v>61</v>
      </c>
      <c r="B454" s="267">
        <v>1</v>
      </c>
      <c r="C454" s="267">
        <v>1</v>
      </c>
      <c r="D454" s="267">
        <v>1</v>
      </c>
      <c r="E454" s="267">
        <v>1</v>
      </c>
      <c r="F454" s="267">
        <v>1</v>
      </c>
      <c r="G454" s="267">
        <v>1</v>
      </c>
      <c r="H454" s="267">
        <v>1</v>
      </c>
      <c r="I454" s="267">
        <v>0</v>
      </c>
      <c r="J454" s="265"/>
    </row>
    <row r="455" spans="1:10">
      <c r="A455" s="285" t="s">
        <v>73</v>
      </c>
      <c r="B455" s="267">
        <v>1</v>
      </c>
      <c r="C455" s="267">
        <v>1</v>
      </c>
      <c r="D455" s="267">
        <v>1</v>
      </c>
      <c r="E455" s="267">
        <v>1</v>
      </c>
      <c r="F455" s="267">
        <v>1</v>
      </c>
      <c r="G455" s="267">
        <v>1</v>
      </c>
      <c r="H455" s="267">
        <v>0</v>
      </c>
      <c r="I455" s="267">
        <v>0</v>
      </c>
      <c r="J455" s="265"/>
    </row>
    <row r="456" spans="1:10">
      <c r="A456" s="285" t="s">
        <v>93</v>
      </c>
      <c r="B456" s="267">
        <v>1</v>
      </c>
      <c r="C456" s="267">
        <v>1</v>
      </c>
      <c r="D456" s="267">
        <v>1</v>
      </c>
      <c r="E456" s="267">
        <v>1</v>
      </c>
      <c r="F456" s="267">
        <v>1</v>
      </c>
      <c r="G456" s="267">
        <v>1</v>
      </c>
      <c r="H456" s="267">
        <v>1</v>
      </c>
      <c r="I456" s="267">
        <v>1</v>
      </c>
      <c r="J456" s="265"/>
    </row>
    <row r="457" spans="1:10">
      <c r="A457" s="285" t="s">
        <v>94</v>
      </c>
      <c r="B457" s="267">
        <v>1</v>
      </c>
      <c r="C457" s="267">
        <v>1</v>
      </c>
      <c r="D457" s="267">
        <v>1</v>
      </c>
      <c r="E457" s="267">
        <v>1</v>
      </c>
      <c r="F457" s="267">
        <v>1</v>
      </c>
      <c r="G457" s="267">
        <v>1</v>
      </c>
      <c r="H457" s="267">
        <v>1</v>
      </c>
      <c r="I457" s="267">
        <v>1</v>
      </c>
      <c r="J457" s="265"/>
    </row>
    <row r="458" spans="1:10">
      <c r="A458" s="285" t="s">
        <v>95</v>
      </c>
      <c r="B458" s="267">
        <v>1</v>
      </c>
      <c r="C458" s="267">
        <v>1</v>
      </c>
      <c r="D458" s="267">
        <v>1</v>
      </c>
      <c r="E458" s="267">
        <v>1</v>
      </c>
      <c r="F458" s="267">
        <v>1</v>
      </c>
      <c r="G458" s="267">
        <v>1</v>
      </c>
      <c r="H458" s="267">
        <v>1</v>
      </c>
      <c r="I458" s="267">
        <v>1</v>
      </c>
      <c r="J458" s="265"/>
    </row>
    <row r="459" spans="1:10">
      <c r="A459" s="285" t="s">
        <v>96</v>
      </c>
      <c r="B459" s="267">
        <v>1</v>
      </c>
      <c r="C459" s="267">
        <v>1</v>
      </c>
      <c r="D459" s="267">
        <v>1</v>
      </c>
      <c r="E459" s="267">
        <v>1</v>
      </c>
      <c r="F459" s="267">
        <v>1</v>
      </c>
      <c r="G459" s="267">
        <v>1</v>
      </c>
      <c r="H459" s="267">
        <v>1</v>
      </c>
      <c r="I459" s="267">
        <v>1</v>
      </c>
      <c r="J459" s="265"/>
    </row>
    <row r="460" spans="1:10">
      <c r="A460" s="285" t="s">
        <v>97</v>
      </c>
      <c r="B460" s="267">
        <v>1</v>
      </c>
      <c r="C460" s="267">
        <v>1</v>
      </c>
      <c r="D460" s="267">
        <v>1</v>
      </c>
      <c r="E460" s="267">
        <v>1</v>
      </c>
      <c r="F460" s="267">
        <v>1</v>
      </c>
      <c r="G460" s="267">
        <v>1</v>
      </c>
      <c r="H460" s="267">
        <v>1</v>
      </c>
      <c r="I460" s="267">
        <v>1</v>
      </c>
      <c r="J460" s="265"/>
    </row>
    <row r="461" spans="1:10">
      <c r="A461" s="285" t="s">
        <v>1176</v>
      </c>
      <c r="B461" s="267">
        <v>1</v>
      </c>
      <c r="C461" s="267">
        <v>1</v>
      </c>
      <c r="D461" s="267">
        <v>1</v>
      </c>
      <c r="E461" s="267">
        <v>1</v>
      </c>
      <c r="F461" s="267">
        <v>1</v>
      </c>
      <c r="G461" s="267">
        <v>1</v>
      </c>
      <c r="H461" s="267">
        <v>1</v>
      </c>
      <c r="I461" s="267">
        <v>0</v>
      </c>
      <c r="J461" s="265"/>
    </row>
    <row r="462" spans="1:10">
      <c r="A462" s="285" t="s">
        <v>62</v>
      </c>
      <c r="B462" s="267">
        <v>1</v>
      </c>
      <c r="C462" s="267">
        <v>1</v>
      </c>
      <c r="D462" s="267">
        <v>1</v>
      </c>
      <c r="E462" s="267">
        <v>1</v>
      </c>
      <c r="F462" s="267">
        <v>1</v>
      </c>
      <c r="G462" s="267">
        <v>1</v>
      </c>
      <c r="H462" s="267">
        <v>0</v>
      </c>
      <c r="I462" s="267">
        <v>0</v>
      </c>
      <c r="J462" s="265"/>
    </row>
    <row r="463" spans="1:10">
      <c r="A463" s="285" t="s">
        <v>63</v>
      </c>
      <c r="B463" s="267">
        <v>1</v>
      </c>
      <c r="C463" s="267">
        <v>1</v>
      </c>
      <c r="D463" s="267">
        <v>1</v>
      </c>
      <c r="E463" s="267">
        <v>1</v>
      </c>
      <c r="F463" s="267">
        <v>1</v>
      </c>
      <c r="G463" s="267">
        <v>1</v>
      </c>
      <c r="H463" s="267">
        <v>1</v>
      </c>
      <c r="I463" s="267">
        <v>0</v>
      </c>
      <c r="J463" s="265"/>
    </row>
    <row r="464" spans="1:10">
      <c r="A464" s="285" t="s">
        <v>1516</v>
      </c>
      <c r="B464" s="267">
        <v>1</v>
      </c>
      <c r="C464" s="267">
        <v>1</v>
      </c>
      <c r="D464" s="267">
        <v>1</v>
      </c>
      <c r="E464" s="267">
        <v>1</v>
      </c>
      <c r="F464" s="267">
        <v>1</v>
      </c>
      <c r="G464" s="267">
        <v>1</v>
      </c>
      <c r="H464" s="267">
        <v>1</v>
      </c>
      <c r="I464" s="267">
        <v>0</v>
      </c>
      <c r="J464" s="265"/>
    </row>
    <row r="465" spans="1:10">
      <c r="A465" s="285" t="s">
        <v>64</v>
      </c>
      <c r="B465" s="267">
        <v>1</v>
      </c>
      <c r="C465" s="267">
        <v>1</v>
      </c>
      <c r="D465" s="267">
        <v>1</v>
      </c>
      <c r="E465" s="267">
        <v>1</v>
      </c>
      <c r="F465" s="267">
        <v>1</v>
      </c>
      <c r="G465" s="267">
        <v>1</v>
      </c>
      <c r="H465" s="267">
        <v>1</v>
      </c>
      <c r="I465" s="267">
        <v>0</v>
      </c>
      <c r="J465" s="265"/>
    </row>
    <row r="466" spans="1:10">
      <c r="A466" s="285" t="s">
        <v>1517</v>
      </c>
      <c r="B466" s="267">
        <v>1</v>
      </c>
      <c r="C466" s="267">
        <v>1</v>
      </c>
      <c r="D466" s="267">
        <v>1</v>
      </c>
      <c r="E466" s="267">
        <v>1</v>
      </c>
      <c r="F466" s="267">
        <v>1</v>
      </c>
      <c r="G466" s="267">
        <v>1</v>
      </c>
      <c r="H466" s="267">
        <v>1</v>
      </c>
      <c r="I466" s="267">
        <v>0</v>
      </c>
      <c r="J466" s="265"/>
    </row>
    <row r="467" spans="1:10">
      <c r="A467" s="285" t="s">
        <v>65</v>
      </c>
      <c r="B467" s="267">
        <v>1</v>
      </c>
      <c r="C467" s="267">
        <v>1</v>
      </c>
      <c r="D467" s="267">
        <v>1</v>
      </c>
      <c r="E467" s="267">
        <v>1</v>
      </c>
      <c r="F467" s="267">
        <v>1</v>
      </c>
      <c r="G467" s="267">
        <v>1</v>
      </c>
      <c r="H467" s="267">
        <v>0</v>
      </c>
      <c r="I467" s="267">
        <v>0</v>
      </c>
      <c r="J467" s="265"/>
    </row>
    <row r="468" spans="1:10">
      <c r="A468" s="285" t="s">
        <v>1518</v>
      </c>
      <c r="B468" s="267">
        <v>1</v>
      </c>
      <c r="C468" s="267">
        <v>1</v>
      </c>
      <c r="D468" s="267">
        <v>1</v>
      </c>
      <c r="E468" s="267">
        <v>1</v>
      </c>
      <c r="F468" s="267">
        <v>1</v>
      </c>
      <c r="G468" s="267">
        <v>1</v>
      </c>
      <c r="H468" s="267">
        <v>0</v>
      </c>
      <c r="I468" s="267">
        <v>0</v>
      </c>
      <c r="J468" s="265"/>
    </row>
    <row r="469" spans="1:10">
      <c r="A469" s="285" t="s">
        <v>66</v>
      </c>
      <c r="B469" s="267">
        <v>1</v>
      </c>
      <c r="C469" s="267">
        <v>1</v>
      </c>
      <c r="D469" s="267">
        <v>1</v>
      </c>
      <c r="E469" s="267">
        <v>1</v>
      </c>
      <c r="F469" s="267">
        <v>1</v>
      </c>
      <c r="G469" s="267">
        <v>1</v>
      </c>
      <c r="H469" s="267">
        <v>0</v>
      </c>
      <c r="I469" s="267">
        <v>0</v>
      </c>
      <c r="J469" s="265"/>
    </row>
    <row r="470" spans="1:10">
      <c r="A470" s="285" t="s">
        <v>1519</v>
      </c>
      <c r="B470" s="267">
        <v>1</v>
      </c>
      <c r="C470" s="267">
        <v>1</v>
      </c>
      <c r="D470" s="267">
        <v>1</v>
      </c>
      <c r="E470" s="267">
        <v>1</v>
      </c>
      <c r="F470" s="267">
        <v>1</v>
      </c>
      <c r="G470" s="267">
        <v>1</v>
      </c>
      <c r="H470" s="267">
        <v>0</v>
      </c>
      <c r="I470" s="267">
        <v>0</v>
      </c>
      <c r="J470" s="265"/>
    </row>
    <row r="471" spans="1:10">
      <c r="A471" s="285" t="s">
        <v>74</v>
      </c>
      <c r="B471" s="267">
        <v>1</v>
      </c>
      <c r="C471" s="267">
        <v>1</v>
      </c>
      <c r="D471" s="267">
        <v>1</v>
      </c>
      <c r="E471" s="267">
        <v>1</v>
      </c>
      <c r="F471" s="267">
        <v>1</v>
      </c>
      <c r="G471" s="267">
        <v>0</v>
      </c>
      <c r="H471" s="267">
        <v>0</v>
      </c>
      <c r="I471" s="267">
        <v>0</v>
      </c>
      <c r="J471" s="265"/>
    </row>
    <row r="472" spans="1:10">
      <c r="A472" s="285" t="s">
        <v>1520</v>
      </c>
      <c r="B472" s="267">
        <v>1</v>
      </c>
      <c r="C472" s="267">
        <v>1</v>
      </c>
      <c r="D472" s="267">
        <v>1</v>
      </c>
      <c r="E472" s="267">
        <v>1</v>
      </c>
      <c r="F472" s="267">
        <v>1</v>
      </c>
      <c r="G472" s="267">
        <v>0</v>
      </c>
      <c r="H472" s="267">
        <v>0</v>
      </c>
      <c r="I472" s="267">
        <v>0</v>
      </c>
      <c r="J472" s="265"/>
    </row>
    <row r="473" spans="1:10">
      <c r="A473" s="285" t="s">
        <v>75</v>
      </c>
      <c r="B473" s="267">
        <v>1</v>
      </c>
      <c r="C473" s="267">
        <v>1</v>
      </c>
      <c r="D473" s="267">
        <v>1</v>
      </c>
      <c r="E473" s="267">
        <v>1</v>
      </c>
      <c r="F473" s="267">
        <v>1</v>
      </c>
      <c r="G473" s="267">
        <v>0</v>
      </c>
      <c r="H473" s="267">
        <v>0</v>
      </c>
      <c r="I473" s="267">
        <v>0</v>
      </c>
      <c r="J473" s="265"/>
    </row>
    <row r="474" spans="1:10">
      <c r="A474" s="285" t="s">
        <v>1521</v>
      </c>
      <c r="B474" s="267">
        <v>1</v>
      </c>
      <c r="C474" s="267">
        <v>1</v>
      </c>
      <c r="D474" s="267">
        <v>1</v>
      </c>
      <c r="E474" s="267">
        <v>1</v>
      </c>
      <c r="F474" s="267">
        <v>1</v>
      </c>
      <c r="G474" s="267">
        <v>0</v>
      </c>
      <c r="H474" s="267">
        <v>0</v>
      </c>
      <c r="I474" s="267">
        <v>0</v>
      </c>
      <c r="J474" s="265"/>
    </row>
    <row r="476" spans="1:10" ht="21" customHeight="1">
      <c r="A476" s="1" t="s">
        <v>238</v>
      </c>
    </row>
    <row r="477" spans="1:10">
      <c r="A477" s="264" t="s">
        <v>217</v>
      </c>
    </row>
    <row r="478" spans="1:10">
      <c r="A478" s="269" t="s">
        <v>239</v>
      </c>
    </row>
    <row r="479" spans="1:10">
      <c r="A479" s="264" t="s">
        <v>240</v>
      </c>
    </row>
    <row r="481" spans="1:3">
      <c r="B481" s="284" t="s">
        <v>24</v>
      </c>
    </row>
    <row r="482" spans="1:3">
      <c r="A482" s="285" t="s">
        <v>24</v>
      </c>
      <c r="B482" s="289">
        <f>1-$B$36</f>
        <v>1</v>
      </c>
      <c r="C482" s="265"/>
    </row>
    <row r="484" spans="1:3" ht="21" customHeight="1">
      <c r="A484" s="1" t="s">
        <v>241</v>
      </c>
    </row>
    <row r="485" spans="1:3">
      <c r="A485" s="264" t="s">
        <v>217</v>
      </c>
    </row>
    <row r="486" spans="1:3">
      <c r="A486" s="269" t="s">
        <v>239</v>
      </c>
    </row>
    <row r="487" spans="1:3">
      <c r="A487" s="264" t="s">
        <v>240</v>
      </c>
    </row>
    <row r="489" spans="1:3">
      <c r="B489" s="284" t="s">
        <v>25</v>
      </c>
    </row>
    <row r="490" spans="1:3">
      <c r="A490" s="285" t="s">
        <v>25</v>
      </c>
      <c r="B490" s="289">
        <f>1-$B$36</f>
        <v>1</v>
      </c>
      <c r="C490" s="265"/>
    </row>
    <row r="492" spans="1:3" ht="21" customHeight="1">
      <c r="A492" s="1" t="s">
        <v>242</v>
      </c>
    </row>
    <row r="493" spans="1:3">
      <c r="A493" s="264" t="s">
        <v>217</v>
      </c>
    </row>
    <row r="494" spans="1:3">
      <c r="A494" s="269" t="s">
        <v>239</v>
      </c>
    </row>
    <row r="495" spans="1:3">
      <c r="A495" s="264" t="s">
        <v>240</v>
      </c>
    </row>
    <row r="497" spans="1:10">
      <c r="B497" s="284" t="s">
        <v>26</v>
      </c>
    </row>
    <row r="498" spans="1:10">
      <c r="A498" s="285" t="s">
        <v>26</v>
      </c>
      <c r="B498" s="289">
        <f>1-$B$36</f>
        <v>1</v>
      </c>
      <c r="C498" s="265"/>
    </row>
    <row r="500" spans="1:10" ht="21" customHeight="1">
      <c r="A500" s="1" t="s">
        <v>243</v>
      </c>
    </row>
    <row r="501" spans="1:10">
      <c r="A501" s="264" t="s">
        <v>217</v>
      </c>
    </row>
    <row r="502" spans="1:10">
      <c r="A502" s="269" t="s">
        <v>239</v>
      </c>
    </row>
    <row r="503" spans="1:10">
      <c r="A503" s="269" t="s">
        <v>244</v>
      </c>
    </row>
    <row r="504" spans="1:10">
      <c r="A504" s="269" t="s">
        <v>245</v>
      </c>
    </row>
    <row r="505" spans="1:10">
      <c r="A505" s="269" t="s">
        <v>246</v>
      </c>
    </row>
    <row r="506" spans="1:10">
      <c r="A506" s="264" t="s">
        <v>247</v>
      </c>
    </row>
    <row r="507" spans="1:10">
      <c r="A507" s="264" t="s">
        <v>248</v>
      </c>
    </row>
    <row r="508" spans="1:10">
      <c r="A508" s="264" t="s">
        <v>249</v>
      </c>
    </row>
    <row r="510" spans="1:10">
      <c r="B510" s="284" t="s">
        <v>22</v>
      </c>
      <c r="C510" s="284" t="s">
        <v>23</v>
      </c>
      <c r="D510" s="284" t="s">
        <v>24</v>
      </c>
      <c r="E510" s="284" t="s">
        <v>25</v>
      </c>
      <c r="F510" s="284" t="s">
        <v>26</v>
      </c>
      <c r="G510" s="284" t="s">
        <v>27</v>
      </c>
      <c r="H510" s="284" t="s">
        <v>28</v>
      </c>
      <c r="I510" s="284" t="s">
        <v>29</v>
      </c>
    </row>
    <row r="511" spans="1:10">
      <c r="A511" s="285" t="s">
        <v>22</v>
      </c>
      <c r="B511" s="267">
        <v>1</v>
      </c>
      <c r="C511" s="291"/>
      <c r="D511" s="291"/>
      <c r="E511" s="291"/>
      <c r="F511" s="291"/>
      <c r="G511" s="291"/>
      <c r="H511" s="291"/>
      <c r="I511" s="291"/>
      <c r="J511" s="265"/>
    </row>
    <row r="512" spans="1:10">
      <c r="A512" s="285" t="s">
        <v>23</v>
      </c>
      <c r="B512" s="291"/>
      <c r="C512" s="297">
        <v>1</v>
      </c>
      <c r="D512" s="297">
        <v>0</v>
      </c>
      <c r="E512" s="297">
        <v>0</v>
      </c>
      <c r="F512" s="297">
        <v>0</v>
      </c>
      <c r="G512" s="297">
        <v>0</v>
      </c>
      <c r="H512" s="297">
        <v>0</v>
      </c>
      <c r="I512" s="297">
        <v>0</v>
      </c>
      <c r="J512" s="265"/>
    </row>
    <row r="513" spans="1:11">
      <c r="A513" s="285" t="s">
        <v>24</v>
      </c>
      <c r="B513" s="291"/>
      <c r="C513" s="297">
        <v>0</v>
      </c>
      <c r="D513" s="298">
        <f>$B$482</f>
        <v>1</v>
      </c>
      <c r="E513" s="297">
        <v>0</v>
      </c>
      <c r="F513" s="297">
        <v>0</v>
      </c>
      <c r="G513" s="297">
        <v>0</v>
      </c>
      <c r="H513" s="297">
        <v>0</v>
      </c>
      <c r="I513" s="297">
        <v>0</v>
      </c>
      <c r="J513" s="265"/>
    </row>
    <row r="514" spans="1:11">
      <c r="A514" s="285" t="s">
        <v>25</v>
      </c>
      <c r="B514" s="291"/>
      <c r="C514" s="297">
        <v>0</v>
      </c>
      <c r="D514" s="297">
        <v>0</v>
      </c>
      <c r="E514" s="298">
        <f>$B$490</f>
        <v>1</v>
      </c>
      <c r="F514" s="297">
        <v>0</v>
      </c>
      <c r="G514" s="297">
        <v>0</v>
      </c>
      <c r="H514" s="297">
        <v>0</v>
      </c>
      <c r="I514" s="297">
        <v>0</v>
      </c>
      <c r="J514" s="265"/>
    </row>
    <row r="515" spans="1:11">
      <c r="A515" s="285" t="s">
        <v>26</v>
      </c>
      <c r="B515" s="291"/>
      <c r="C515" s="297">
        <v>0</v>
      </c>
      <c r="D515" s="297">
        <v>0</v>
      </c>
      <c r="E515" s="297">
        <v>0</v>
      </c>
      <c r="F515" s="298">
        <f>$B$498</f>
        <v>1</v>
      </c>
      <c r="G515" s="297">
        <v>0</v>
      </c>
      <c r="H515" s="297">
        <v>0</v>
      </c>
      <c r="I515" s="297">
        <v>0</v>
      </c>
      <c r="J515" s="265"/>
    </row>
    <row r="516" spans="1:11">
      <c r="A516" s="285" t="s">
        <v>31</v>
      </c>
      <c r="B516" s="291"/>
      <c r="C516" s="297">
        <v>0</v>
      </c>
      <c r="D516" s="297">
        <v>0</v>
      </c>
      <c r="E516" s="297">
        <v>0</v>
      </c>
      <c r="F516" s="298">
        <f>$B$36</f>
        <v>0</v>
      </c>
      <c r="G516" s="297">
        <v>0</v>
      </c>
      <c r="H516" s="297">
        <v>0</v>
      </c>
      <c r="I516" s="297">
        <v>0</v>
      </c>
      <c r="J516" s="265"/>
    </row>
    <row r="517" spans="1:11">
      <c r="A517" s="285" t="s">
        <v>27</v>
      </c>
      <c r="B517" s="291"/>
      <c r="C517" s="297">
        <v>0</v>
      </c>
      <c r="D517" s="297">
        <v>0</v>
      </c>
      <c r="E517" s="297">
        <v>0</v>
      </c>
      <c r="F517" s="297">
        <v>0</v>
      </c>
      <c r="G517" s="297">
        <v>1</v>
      </c>
      <c r="H517" s="297">
        <v>0</v>
      </c>
      <c r="I517" s="297">
        <v>0</v>
      </c>
      <c r="J517" s="265"/>
    </row>
    <row r="518" spans="1:11">
      <c r="A518" s="285" t="s">
        <v>28</v>
      </c>
      <c r="B518" s="291"/>
      <c r="C518" s="297">
        <v>0</v>
      </c>
      <c r="D518" s="297">
        <v>0</v>
      </c>
      <c r="E518" s="297">
        <v>0</v>
      </c>
      <c r="F518" s="297">
        <v>0</v>
      </c>
      <c r="G518" s="297">
        <v>0</v>
      </c>
      <c r="H518" s="297">
        <v>1</v>
      </c>
      <c r="I518" s="297">
        <v>0</v>
      </c>
      <c r="J518" s="265"/>
    </row>
    <row r="519" spans="1:11">
      <c r="A519" s="285" t="s">
        <v>29</v>
      </c>
      <c r="B519" s="291"/>
      <c r="C519" s="297">
        <v>0</v>
      </c>
      <c r="D519" s="297">
        <v>0</v>
      </c>
      <c r="E519" s="297">
        <v>0</v>
      </c>
      <c r="F519" s="297">
        <v>0</v>
      </c>
      <c r="G519" s="297">
        <v>0</v>
      </c>
      <c r="H519" s="297">
        <v>0</v>
      </c>
      <c r="I519" s="297">
        <v>1</v>
      </c>
      <c r="J519" s="265"/>
    </row>
    <row r="521" spans="1:11" ht="21" customHeight="1">
      <c r="A521" s="1" t="s">
        <v>250</v>
      </c>
    </row>
    <row r="522" spans="1:11">
      <c r="A522" s="264" t="s">
        <v>217</v>
      </c>
    </row>
    <row r="523" spans="1:11">
      <c r="A523" s="269" t="s">
        <v>251</v>
      </c>
    </row>
    <row r="524" spans="1:11">
      <c r="A524" s="269" t="s">
        <v>252</v>
      </c>
    </row>
    <row r="525" spans="1:11">
      <c r="A525" s="264" t="s">
        <v>230</v>
      </c>
    </row>
    <row r="527" spans="1:11">
      <c r="B527" s="284" t="s">
        <v>22</v>
      </c>
      <c r="C527" s="284" t="s">
        <v>23</v>
      </c>
      <c r="D527" s="284" t="s">
        <v>24</v>
      </c>
      <c r="E527" s="284" t="s">
        <v>25</v>
      </c>
      <c r="F527" s="284" t="s">
        <v>26</v>
      </c>
      <c r="G527" s="284" t="s">
        <v>31</v>
      </c>
      <c r="H527" s="284" t="s">
        <v>27</v>
      </c>
      <c r="I527" s="284" t="s">
        <v>28</v>
      </c>
      <c r="J527" s="284" t="s">
        <v>29</v>
      </c>
    </row>
    <row r="528" spans="1:11">
      <c r="A528" s="285" t="s">
        <v>54</v>
      </c>
      <c r="B528" s="273">
        <f t="shared" ref="B528:B560" si="2">SUMPRODUCT($B442:$I442,$B$511:$I$511)</f>
        <v>1</v>
      </c>
      <c r="C528" s="273">
        <f t="shared" ref="C528:C560" si="3">SUMPRODUCT($B442:$I442,$B$512:$I$512)</f>
        <v>1</v>
      </c>
      <c r="D528" s="273">
        <f t="shared" ref="D528:D560" si="4">SUMPRODUCT($B442:$I442,$B$513:$I$513)</f>
        <v>1</v>
      </c>
      <c r="E528" s="273">
        <f t="shared" ref="E528:E560" si="5">SUMPRODUCT($B442:$I442,$B$514:$I$514)</f>
        <v>1</v>
      </c>
      <c r="F528" s="273">
        <f t="shared" ref="F528:F560" si="6">SUMPRODUCT($B442:$I442,$B$515:$I$515)</f>
        <v>1</v>
      </c>
      <c r="G528" s="273">
        <f t="shared" ref="G528:G560" si="7">SUMPRODUCT($B442:$I442,$B$516:$I$516)</f>
        <v>0</v>
      </c>
      <c r="H528" s="273">
        <f t="shared" ref="H528:H560" si="8">SUMPRODUCT($B442:$I442,$B$517:$I$517)</f>
        <v>1</v>
      </c>
      <c r="I528" s="273">
        <f t="shared" ref="I528:I560" si="9">SUMPRODUCT($B442:$I442,$B$518:$I$518)</f>
        <v>1</v>
      </c>
      <c r="J528" s="273">
        <f t="shared" ref="J528:J560" si="10">SUMPRODUCT($B442:$I442,$B$519:$I$519)</f>
        <v>1</v>
      </c>
      <c r="K528" s="265"/>
    </row>
    <row r="529" spans="1:11">
      <c r="A529" s="285" t="s">
        <v>55</v>
      </c>
      <c r="B529" s="273">
        <f t="shared" si="2"/>
        <v>1</v>
      </c>
      <c r="C529" s="273">
        <f t="shared" si="3"/>
        <v>1</v>
      </c>
      <c r="D529" s="273">
        <f t="shared" si="4"/>
        <v>1</v>
      </c>
      <c r="E529" s="273">
        <f t="shared" si="5"/>
        <v>1</v>
      </c>
      <c r="F529" s="273">
        <f t="shared" si="6"/>
        <v>1</v>
      </c>
      <c r="G529" s="273">
        <f t="shared" si="7"/>
        <v>0</v>
      </c>
      <c r="H529" s="273">
        <f t="shared" si="8"/>
        <v>1</v>
      </c>
      <c r="I529" s="273">
        <f t="shared" si="9"/>
        <v>1</v>
      </c>
      <c r="J529" s="273">
        <f t="shared" si="10"/>
        <v>1</v>
      </c>
      <c r="K529" s="265"/>
    </row>
    <row r="530" spans="1:11">
      <c r="A530" s="285" t="s">
        <v>91</v>
      </c>
      <c r="B530" s="273">
        <f t="shared" si="2"/>
        <v>1</v>
      </c>
      <c r="C530" s="273">
        <f t="shared" si="3"/>
        <v>1</v>
      </c>
      <c r="D530" s="273">
        <f t="shared" si="4"/>
        <v>1</v>
      </c>
      <c r="E530" s="273">
        <f t="shared" si="5"/>
        <v>1</v>
      </c>
      <c r="F530" s="273">
        <f t="shared" si="6"/>
        <v>1</v>
      </c>
      <c r="G530" s="273">
        <f t="shared" si="7"/>
        <v>0</v>
      </c>
      <c r="H530" s="273">
        <f t="shared" si="8"/>
        <v>1</v>
      </c>
      <c r="I530" s="273">
        <f t="shared" si="9"/>
        <v>1</v>
      </c>
      <c r="J530" s="273">
        <f t="shared" si="10"/>
        <v>1</v>
      </c>
      <c r="K530" s="265"/>
    </row>
    <row r="531" spans="1:11">
      <c r="A531" s="285" t="s">
        <v>56</v>
      </c>
      <c r="B531" s="273">
        <f t="shared" si="2"/>
        <v>1</v>
      </c>
      <c r="C531" s="273">
        <f t="shared" si="3"/>
        <v>1</v>
      </c>
      <c r="D531" s="273">
        <f t="shared" si="4"/>
        <v>1</v>
      </c>
      <c r="E531" s="273">
        <f t="shared" si="5"/>
        <v>1</v>
      </c>
      <c r="F531" s="273">
        <f t="shared" si="6"/>
        <v>1</v>
      </c>
      <c r="G531" s="273">
        <f t="shared" si="7"/>
        <v>0</v>
      </c>
      <c r="H531" s="273">
        <f t="shared" si="8"/>
        <v>1</v>
      </c>
      <c r="I531" s="273">
        <f t="shared" si="9"/>
        <v>1</v>
      </c>
      <c r="J531" s="273">
        <f t="shared" si="10"/>
        <v>1</v>
      </c>
      <c r="K531" s="265"/>
    </row>
    <row r="532" spans="1:11">
      <c r="A532" s="285" t="s">
        <v>57</v>
      </c>
      <c r="B532" s="273">
        <f t="shared" si="2"/>
        <v>1</v>
      </c>
      <c r="C532" s="273">
        <f t="shared" si="3"/>
        <v>1</v>
      </c>
      <c r="D532" s="273">
        <f t="shared" si="4"/>
        <v>1</v>
      </c>
      <c r="E532" s="273">
        <f t="shared" si="5"/>
        <v>1</v>
      </c>
      <c r="F532" s="273">
        <f t="shared" si="6"/>
        <v>1</v>
      </c>
      <c r="G532" s="273">
        <f t="shared" si="7"/>
        <v>0</v>
      </c>
      <c r="H532" s="273">
        <f t="shared" si="8"/>
        <v>1</v>
      </c>
      <c r="I532" s="273">
        <f t="shared" si="9"/>
        <v>1</v>
      </c>
      <c r="J532" s="273">
        <f t="shared" si="10"/>
        <v>1</v>
      </c>
      <c r="K532" s="265"/>
    </row>
    <row r="533" spans="1:11">
      <c r="A533" s="285" t="s">
        <v>92</v>
      </c>
      <c r="B533" s="273">
        <f t="shared" si="2"/>
        <v>1</v>
      </c>
      <c r="C533" s="273">
        <f t="shared" si="3"/>
        <v>1</v>
      </c>
      <c r="D533" s="273">
        <f t="shared" si="4"/>
        <v>1</v>
      </c>
      <c r="E533" s="273">
        <f t="shared" si="5"/>
        <v>1</v>
      </c>
      <c r="F533" s="273">
        <f t="shared" si="6"/>
        <v>1</v>
      </c>
      <c r="G533" s="273">
        <f t="shared" si="7"/>
        <v>0</v>
      </c>
      <c r="H533" s="273">
        <f t="shared" si="8"/>
        <v>1</v>
      </c>
      <c r="I533" s="273">
        <f t="shared" si="9"/>
        <v>1</v>
      </c>
      <c r="J533" s="273">
        <f t="shared" si="10"/>
        <v>1</v>
      </c>
      <c r="K533" s="265"/>
    </row>
    <row r="534" spans="1:11">
      <c r="A534" s="285" t="s">
        <v>58</v>
      </c>
      <c r="B534" s="273">
        <f t="shared" si="2"/>
        <v>1</v>
      </c>
      <c r="C534" s="273">
        <f t="shared" si="3"/>
        <v>1</v>
      </c>
      <c r="D534" s="273">
        <f t="shared" si="4"/>
        <v>1</v>
      </c>
      <c r="E534" s="273">
        <f t="shared" si="5"/>
        <v>1</v>
      </c>
      <c r="F534" s="273">
        <f t="shared" si="6"/>
        <v>1</v>
      </c>
      <c r="G534" s="273">
        <f t="shared" si="7"/>
        <v>0</v>
      </c>
      <c r="H534" s="273">
        <f t="shared" si="8"/>
        <v>1</v>
      </c>
      <c r="I534" s="273">
        <f t="shared" si="9"/>
        <v>1</v>
      </c>
      <c r="J534" s="273">
        <f t="shared" si="10"/>
        <v>1</v>
      </c>
      <c r="K534" s="265"/>
    </row>
    <row r="535" spans="1:11">
      <c r="A535" s="285" t="s">
        <v>59</v>
      </c>
      <c r="B535" s="273">
        <f t="shared" si="2"/>
        <v>1</v>
      </c>
      <c r="C535" s="273">
        <f t="shared" si="3"/>
        <v>1</v>
      </c>
      <c r="D535" s="273">
        <f t="shared" si="4"/>
        <v>1</v>
      </c>
      <c r="E535" s="273">
        <f t="shared" si="5"/>
        <v>1</v>
      </c>
      <c r="F535" s="273">
        <f t="shared" si="6"/>
        <v>1</v>
      </c>
      <c r="G535" s="273">
        <f t="shared" si="7"/>
        <v>0</v>
      </c>
      <c r="H535" s="273">
        <f t="shared" si="8"/>
        <v>1</v>
      </c>
      <c r="I535" s="273">
        <f t="shared" si="9"/>
        <v>1</v>
      </c>
      <c r="J535" s="273">
        <f t="shared" si="10"/>
        <v>0</v>
      </c>
      <c r="K535" s="265"/>
    </row>
    <row r="536" spans="1:11">
      <c r="A536" s="285" t="s">
        <v>72</v>
      </c>
      <c r="B536" s="273">
        <f t="shared" si="2"/>
        <v>1</v>
      </c>
      <c r="C536" s="273">
        <f t="shared" si="3"/>
        <v>1</v>
      </c>
      <c r="D536" s="273">
        <f t="shared" si="4"/>
        <v>1</v>
      </c>
      <c r="E536" s="273">
        <f t="shared" si="5"/>
        <v>1</v>
      </c>
      <c r="F536" s="273">
        <f t="shared" si="6"/>
        <v>1</v>
      </c>
      <c r="G536" s="273">
        <f t="shared" si="7"/>
        <v>0</v>
      </c>
      <c r="H536" s="273">
        <f t="shared" si="8"/>
        <v>1</v>
      </c>
      <c r="I536" s="273">
        <f t="shared" si="9"/>
        <v>0</v>
      </c>
      <c r="J536" s="273">
        <f t="shared" si="10"/>
        <v>0</v>
      </c>
      <c r="K536" s="265"/>
    </row>
    <row r="537" spans="1:11">
      <c r="A537" s="285" t="s">
        <v>1178</v>
      </c>
      <c r="B537" s="273">
        <f t="shared" si="2"/>
        <v>1</v>
      </c>
      <c r="C537" s="273">
        <f t="shared" si="3"/>
        <v>1</v>
      </c>
      <c r="D537" s="273">
        <f t="shared" si="4"/>
        <v>1</v>
      </c>
      <c r="E537" s="273">
        <f t="shared" si="5"/>
        <v>1</v>
      </c>
      <c r="F537" s="273">
        <f t="shared" si="6"/>
        <v>1</v>
      </c>
      <c r="G537" s="273">
        <f t="shared" si="7"/>
        <v>0</v>
      </c>
      <c r="H537" s="273">
        <f t="shared" si="8"/>
        <v>1</v>
      </c>
      <c r="I537" s="273">
        <f t="shared" si="9"/>
        <v>1</v>
      </c>
      <c r="J537" s="273">
        <f t="shared" si="10"/>
        <v>1</v>
      </c>
      <c r="K537" s="265"/>
    </row>
    <row r="538" spans="1:11">
      <c r="A538" s="285" t="s">
        <v>1177</v>
      </c>
      <c r="B538" s="273">
        <f t="shared" si="2"/>
        <v>1</v>
      </c>
      <c r="C538" s="273">
        <f t="shared" si="3"/>
        <v>1</v>
      </c>
      <c r="D538" s="273">
        <f t="shared" si="4"/>
        <v>1</v>
      </c>
      <c r="E538" s="273">
        <f t="shared" si="5"/>
        <v>1</v>
      </c>
      <c r="F538" s="273">
        <f t="shared" si="6"/>
        <v>1</v>
      </c>
      <c r="G538" s="273">
        <f t="shared" si="7"/>
        <v>0</v>
      </c>
      <c r="H538" s="273">
        <f t="shared" si="8"/>
        <v>1</v>
      </c>
      <c r="I538" s="273">
        <f t="shared" si="9"/>
        <v>1</v>
      </c>
      <c r="J538" s="273">
        <f t="shared" si="10"/>
        <v>1</v>
      </c>
      <c r="K538" s="265"/>
    </row>
    <row r="539" spans="1:11">
      <c r="A539" s="285" t="s">
        <v>60</v>
      </c>
      <c r="B539" s="273">
        <f t="shared" si="2"/>
        <v>1</v>
      </c>
      <c r="C539" s="273">
        <f t="shared" si="3"/>
        <v>1</v>
      </c>
      <c r="D539" s="273">
        <f t="shared" si="4"/>
        <v>1</v>
      </c>
      <c r="E539" s="273">
        <f t="shared" si="5"/>
        <v>1</v>
      </c>
      <c r="F539" s="273">
        <f t="shared" si="6"/>
        <v>1</v>
      </c>
      <c r="G539" s="273">
        <f t="shared" si="7"/>
        <v>0</v>
      </c>
      <c r="H539" s="273">
        <f t="shared" si="8"/>
        <v>1</v>
      </c>
      <c r="I539" s="273">
        <f t="shared" si="9"/>
        <v>1</v>
      </c>
      <c r="J539" s="273">
        <f t="shared" si="10"/>
        <v>1</v>
      </c>
      <c r="K539" s="265"/>
    </row>
    <row r="540" spans="1:11">
      <c r="A540" s="285" t="s">
        <v>61</v>
      </c>
      <c r="B540" s="273">
        <f t="shared" si="2"/>
        <v>1</v>
      </c>
      <c r="C540" s="273">
        <f t="shared" si="3"/>
        <v>1</v>
      </c>
      <c r="D540" s="273">
        <f t="shared" si="4"/>
        <v>1</v>
      </c>
      <c r="E540" s="273">
        <f t="shared" si="5"/>
        <v>1</v>
      </c>
      <c r="F540" s="273">
        <f t="shared" si="6"/>
        <v>1</v>
      </c>
      <c r="G540" s="273">
        <f t="shared" si="7"/>
        <v>0</v>
      </c>
      <c r="H540" s="273">
        <f t="shared" si="8"/>
        <v>1</v>
      </c>
      <c r="I540" s="273">
        <f t="shared" si="9"/>
        <v>1</v>
      </c>
      <c r="J540" s="273">
        <f t="shared" si="10"/>
        <v>0</v>
      </c>
      <c r="K540" s="265"/>
    </row>
    <row r="541" spans="1:11">
      <c r="A541" s="285" t="s">
        <v>73</v>
      </c>
      <c r="B541" s="273">
        <f t="shared" si="2"/>
        <v>1</v>
      </c>
      <c r="C541" s="273">
        <f t="shared" si="3"/>
        <v>1</v>
      </c>
      <c r="D541" s="273">
        <f t="shared" si="4"/>
        <v>1</v>
      </c>
      <c r="E541" s="273">
        <f t="shared" si="5"/>
        <v>1</v>
      </c>
      <c r="F541" s="273">
        <f t="shared" si="6"/>
        <v>1</v>
      </c>
      <c r="G541" s="273">
        <f t="shared" si="7"/>
        <v>0</v>
      </c>
      <c r="H541" s="273">
        <f t="shared" si="8"/>
        <v>1</v>
      </c>
      <c r="I541" s="273">
        <f t="shared" si="9"/>
        <v>0</v>
      </c>
      <c r="J541" s="273">
        <f t="shared" si="10"/>
        <v>0</v>
      </c>
      <c r="K541" s="265"/>
    </row>
    <row r="542" spans="1:11">
      <c r="A542" s="285" t="s">
        <v>93</v>
      </c>
      <c r="B542" s="273">
        <f t="shared" si="2"/>
        <v>1</v>
      </c>
      <c r="C542" s="273">
        <f t="shared" si="3"/>
        <v>1</v>
      </c>
      <c r="D542" s="273">
        <f t="shared" si="4"/>
        <v>1</v>
      </c>
      <c r="E542" s="273">
        <f t="shared" si="5"/>
        <v>1</v>
      </c>
      <c r="F542" s="273">
        <f t="shared" si="6"/>
        <v>1</v>
      </c>
      <c r="G542" s="273">
        <f t="shared" si="7"/>
        <v>0</v>
      </c>
      <c r="H542" s="273">
        <f t="shared" si="8"/>
        <v>1</v>
      </c>
      <c r="I542" s="273">
        <f t="shared" si="9"/>
        <v>1</v>
      </c>
      <c r="J542" s="273">
        <f t="shared" si="10"/>
        <v>1</v>
      </c>
      <c r="K542" s="265"/>
    </row>
    <row r="543" spans="1:11">
      <c r="A543" s="285" t="s">
        <v>94</v>
      </c>
      <c r="B543" s="273">
        <f t="shared" si="2"/>
        <v>1</v>
      </c>
      <c r="C543" s="273">
        <f t="shared" si="3"/>
        <v>1</v>
      </c>
      <c r="D543" s="273">
        <f t="shared" si="4"/>
        <v>1</v>
      </c>
      <c r="E543" s="273">
        <f t="shared" si="5"/>
        <v>1</v>
      </c>
      <c r="F543" s="273">
        <f t="shared" si="6"/>
        <v>1</v>
      </c>
      <c r="G543" s="273">
        <f t="shared" si="7"/>
        <v>0</v>
      </c>
      <c r="H543" s="273">
        <f t="shared" si="8"/>
        <v>1</v>
      </c>
      <c r="I543" s="273">
        <f t="shared" si="9"/>
        <v>1</v>
      </c>
      <c r="J543" s="273">
        <f t="shared" si="10"/>
        <v>1</v>
      </c>
      <c r="K543" s="265"/>
    </row>
    <row r="544" spans="1:11">
      <c r="A544" s="285" t="s">
        <v>95</v>
      </c>
      <c r="B544" s="273">
        <f t="shared" si="2"/>
        <v>1</v>
      </c>
      <c r="C544" s="273">
        <f t="shared" si="3"/>
        <v>1</v>
      </c>
      <c r="D544" s="273">
        <f t="shared" si="4"/>
        <v>1</v>
      </c>
      <c r="E544" s="273">
        <f t="shared" si="5"/>
        <v>1</v>
      </c>
      <c r="F544" s="273">
        <f t="shared" si="6"/>
        <v>1</v>
      </c>
      <c r="G544" s="273">
        <f t="shared" si="7"/>
        <v>0</v>
      </c>
      <c r="H544" s="273">
        <f t="shared" si="8"/>
        <v>1</v>
      </c>
      <c r="I544" s="273">
        <f t="shared" si="9"/>
        <v>1</v>
      </c>
      <c r="J544" s="273">
        <f t="shared" si="10"/>
        <v>1</v>
      </c>
      <c r="K544" s="265"/>
    </row>
    <row r="545" spans="1:11">
      <c r="A545" s="285" t="s">
        <v>96</v>
      </c>
      <c r="B545" s="273">
        <f t="shared" si="2"/>
        <v>1</v>
      </c>
      <c r="C545" s="273">
        <f t="shared" si="3"/>
        <v>1</v>
      </c>
      <c r="D545" s="273">
        <f t="shared" si="4"/>
        <v>1</v>
      </c>
      <c r="E545" s="273">
        <f t="shared" si="5"/>
        <v>1</v>
      </c>
      <c r="F545" s="273">
        <f t="shared" si="6"/>
        <v>1</v>
      </c>
      <c r="G545" s="273">
        <f t="shared" si="7"/>
        <v>0</v>
      </c>
      <c r="H545" s="273">
        <f t="shared" si="8"/>
        <v>1</v>
      </c>
      <c r="I545" s="273">
        <f t="shared" si="9"/>
        <v>1</v>
      </c>
      <c r="J545" s="273">
        <f t="shared" si="10"/>
        <v>1</v>
      </c>
      <c r="K545" s="265"/>
    </row>
    <row r="546" spans="1:11">
      <c r="A546" s="285" t="s">
        <v>97</v>
      </c>
      <c r="B546" s="273">
        <f t="shared" si="2"/>
        <v>1</v>
      </c>
      <c r="C546" s="273">
        <f t="shared" si="3"/>
        <v>1</v>
      </c>
      <c r="D546" s="273">
        <f t="shared" si="4"/>
        <v>1</v>
      </c>
      <c r="E546" s="273">
        <f t="shared" si="5"/>
        <v>1</v>
      </c>
      <c r="F546" s="273">
        <f t="shared" si="6"/>
        <v>1</v>
      </c>
      <c r="G546" s="273">
        <f t="shared" si="7"/>
        <v>0</v>
      </c>
      <c r="H546" s="273">
        <f t="shared" si="8"/>
        <v>1</v>
      </c>
      <c r="I546" s="273">
        <f t="shared" si="9"/>
        <v>1</v>
      </c>
      <c r="J546" s="273">
        <f t="shared" si="10"/>
        <v>1</v>
      </c>
      <c r="K546" s="265"/>
    </row>
    <row r="547" spans="1:11">
      <c r="A547" s="285" t="s">
        <v>1176</v>
      </c>
      <c r="B547" s="273">
        <f t="shared" si="2"/>
        <v>1</v>
      </c>
      <c r="C547" s="273">
        <f t="shared" si="3"/>
        <v>1</v>
      </c>
      <c r="D547" s="273">
        <f t="shared" si="4"/>
        <v>1</v>
      </c>
      <c r="E547" s="273">
        <f t="shared" si="5"/>
        <v>1</v>
      </c>
      <c r="F547" s="273">
        <f t="shared" si="6"/>
        <v>1</v>
      </c>
      <c r="G547" s="273">
        <f t="shared" si="7"/>
        <v>0</v>
      </c>
      <c r="H547" s="273">
        <f t="shared" si="8"/>
        <v>1</v>
      </c>
      <c r="I547" s="273">
        <f t="shared" si="9"/>
        <v>1</v>
      </c>
      <c r="J547" s="273">
        <f t="shared" si="10"/>
        <v>0</v>
      </c>
      <c r="K547" s="265"/>
    </row>
    <row r="548" spans="1:11">
      <c r="A548" s="285" t="s">
        <v>62</v>
      </c>
      <c r="B548" s="273">
        <f t="shared" si="2"/>
        <v>1</v>
      </c>
      <c r="C548" s="273">
        <f t="shared" si="3"/>
        <v>1</v>
      </c>
      <c r="D548" s="273">
        <f t="shared" si="4"/>
        <v>1</v>
      </c>
      <c r="E548" s="273">
        <f t="shared" si="5"/>
        <v>1</v>
      </c>
      <c r="F548" s="273">
        <f t="shared" si="6"/>
        <v>1</v>
      </c>
      <c r="G548" s="273">
        <f t="shared" si="7"/>
        <v>0</v>
      </c>
      <c r="H548" s="273">
        <f t="shared" si="8"/>
        <v>1</v>
      </c>
      <c r="I548" s="273">
        <f t="shared" si="9"/>
        <v>0</v>
      </c>
      <c r="J548" s="273">
        <f t="shared" si="10"/>
        <v>0</v>
      </c>
      <c r="K548" s="265"/>
    </row>
    <row r="549" spans="1:11">
      <c r="A549" s="285" t="s">
        <v>63</v>
      </c>
      <c r="B549" s="273">
        <f t="shared" si="2"/>
        <v>1</v>
      </c>
      <c r="C549" s="273">
        <f t="shared" si="3"/>
        <v>1</v>
      </c>
      <c r="D549" s="273">
        <f t="shared" si="4"/>
        <v>1</v>
      </c>
      <c r="E549" s="273">
        <f t="shared" si="5"/>
        <v>1</v>
      </c>
      <c r="F549" s="273">
        <f t="shared" si="6"/>
        <v>1</v>
      </c>
      <c r="G549" s="273">
        <f t="shared" si="7"/>
        <v>0</v>
      </c>
      <c r="H549" s="273">
        <f t="shared" si="8"/>
        <v>1</v>
      </c>
      <c r="I549" s="273">
        <f t="shared" si="9"/>
        <v>1</v>
      </c>
      <c r="J549" s="273">
        <f t="shared" si="10"/>
        <v>0</v>
      </c>
      <c r="K549" s="265"/>
    </row>
    <row r="550" spans="1:11">
      <c r="A550" s="285" t="s">
        <v>1516</v>
      </c>
      <c r="B550" s="273">
        <f t="shared" si="2"/>
        <v>1</v>
      </c>
      <c r="C550" s="273">
        <f t="shared" si="3"/>
        <v>1</v>
      </c>
      <c r="D550" s="273">
        <f t="shared" si="4"/>
        <v>1</v>
      </c>
      <c r="E550" s="273">
        <f t="shared" si="5"/>
        <v>1</v>
      </c>
      <c r="F550" s="273">
        <f t="shared" si="6"/>
        <v>1</v>
      </c>
      <c r="G550" s="273">
        <f t="shared" si="7"/>
        <v>0</v>
      </c>
      <c r="H550" s="273">
        <f t="shared" si="8"/>
        <v>1</v>
      </c>
      <c r="I550" s="273">
        <f t="shared" si="9"/>
        <v>1</v>
      </c>
      <c r="J550" s="273">
        <f t="shared" si="10"/>
        <v>0</v>
      </c>
      <c r="K550" s="265"/>
    </row>
    <row r="551" spans="1:11">
      <c r="A551" s="285" t="s">
        <v>64</v>
      </c>
      <c r="B551" s="273">
        <f t="shared" si="2"/>
        <v>1</v>
      </c>
      <c r="C551" s="273">
        <f t="shared" si="3"/>
        <v>1</v>
      </c>
      <c r="D551" s="273">
        <f t="shared" si="4"/>
        <v>1</v>
      </c>
      <c r="E551" s="273">
        <f t="shared" si="5"/>
        <v>1</v>
      </c>
      <c r="F551" s="273">
        <f t="shared" si="6"/>
        <v>1</v>
      </c>
      <c r="G551" s="273">
        <f t="shared" si="7"/>
        <v>0</v>
      </c>
      <c r="H551" s="273">
        <f t="shared" si="8"/>
        <v>1</v>
      </c>
      <c r="I551" s="273">
        <f t="shared" si="9"/>
        <v>1</v>
      </c>
      <c r="J551" s="273">
        <f t="shared" si="10"/>
        <v>0</v>
      </c>
      <c r="K551" s="265"/>
    </row>
    <row r="552" spans="1:11">
      <c r="A552" s="285" t="s">
        <v>1517</v>
      </c>
      <c r="B552" s="273">
        <f t="shared" si="2"/>
        <v>1</v>
      </c>
      <c r="C552" s="273">
        <f t="shared" si="3"/>
        <v>1</v>
      </c>
      <c r="D552" s="273">
        <f t="shared" si="4"/>
        <v>1</v>
      </c>
      <c r="E552" s="273">
        <f t="shared" si="5"/>
        <v>1</v>
      </c>
      <c r="F552" s="273">
        <f t="shared" si="6"/>
        <v>1</v>
      </c>
      <c r="G552" s="273">
        <f t="shared" si="7"/>
        <v>0</v>
      </c>
      <c r="H552" s="273">
        <f t="shared" si="8"/>
        <v>1</v>
      </c>
      <c r="I552" s="273">
        <f t="shared" si="9"/>
        <v>1</v>
      </c>
      <c r="J552" s="273">
        <f t="shared" si="10"/>
        <v>0</v>
      </c>
      <c r="K552" s="265"/>
    </row>
    <row r="553" spans="1:11">
      <c r="A553" s="285" t="s">
        <v>65</v>
      </c>
      <c r="B553" s="273">
        <f t="shared" si="2"/>
        <v>1</v>
      </c>
      <c r="C553" s="273">
        <f t="shared" si="3"/>
        <v>1</v>
      </c>
      <c r="D553" s="273">
        <f t="shared" si="4"/>
        <v>1</v>
      </c>
      <c r="E553" s="273">
        <f t="shared" si="5"/>
        <v>1</v>
      </c>
      <c r="F553" s="273">
        <f t="shared" si="6"/>
        <v>1</v>
      </c>
      <c r="G553" s="273">
        <f t="shared" si="7"/>
        <v>0</v>
      </c>
      <c r="H553" s="273">
        <f t="shared" si="8"/>
        <v>1</v>
      </c>
      <c r="I553" s="273">
        <f t="shared" si="9"/>
        <v>0</v>
      </c>
      <c r="J553" s="273">
        <f t="shared" si="10"/>
        <v>0</v>
      </c>
      <c r="K553" s="265"/>
    </row>
    <row r="554" spans="1:11">
      <c r="A554" s="285" t="s">
        <v>1518</v>
      </c>
      <c r="B554" s="273">
        <f t="shared" si="2"/>
        <v>1</v>
      </c>
      <c r="C554" s="273">
        <f t="shared" si="3"/>
        <v>1</v>
      </c>
      <c r="D554" s="273">
        <f t="shared" si="4"/>
        <v>1</v>
      </c>
      <c r="E554" s="273">
        <f t="shared" si="5"/>
        <v>1</v>
      </c>
      <c r="F554" s="273">
        <f t="shared" si="6"/>
        <v>1</v>
      </c>
      <c r="G554" s="273">
        <f t="shared" si="7"/>
        <v>0</v>
      </c>
      <c r="H554" s="273">
        <f t="shared" si="8"/>
        <v>1</v>
      </c>
      <c r="I554" s="273">
        <f t="shared" si="9"/>
        <v>0</v>
      </c>
      <c r="J554" s="273">
        <f t="shared" si="10"/>
        <v>0</v>
      </c>
      <c r="K554" s="265"/>
    </row>
    <row r="555" spans="1:11">
      <c r="A555" s="285" t="s">
        <v>66</v>
      </c>
      <c r="B555" s="273">
        <f t="shared" si="2"/>
        <v>1</v>
      </c>
      <c r="C555" s="273">
        <f t="shared" si="3"/>
        <v>1</v>
      </c>
      <c r="D555" s="273">
        <f t="shared" si="4"/>
        <v>1</v>
      </c>
      <c r="E555" s="273">
        <f t="shared" si="5"/>
        <v>1</v>
      </c>
      <c r="F555" s="273">
        <f t="shared" si="6"/>
        <v>1</v>
      </c>
      <c r="G555" s="273">
        <f t="shared" si="7"/>
        <v>0</v>
      </c>
      <c r="H555" s="273">
        <f t="shared" si="8"/>
        <v>1</v>
      </c>
      <c r="I555" s="273">
        <f t="shared" si="9"/>
        <v>0</v>
      </c>
      <c r="J555" s="273">
        <f t="shared" si="10"/>
        <v>0</v>
      </c>
      <c r="K555" s="265"/>
    </row>
    <row r="556" spans="1:11">
      <c r="A556" s="285" t="s">
        <v>1519</v>
      </c>
      <c r="B556" s="273">
        <f t="shared" si="2"/>
        <v>1</v>
      </c>
      <c r="C556" s="273">
        <f t="shared" si="3"/>
        <v>1</v>
      </c>
      <c r="D556" s="273">
        <f t="shared" si="4"/>
        <v>1</v>
      </c>
      <c r="E556" s="273">
        <f t="shared" si="5"/>
        <v>1</v>
      </c>
      <c r="F556" s="273">
        <f t="shared" si="6"/>
        <v>1</v>
      </c>
      <c r="G556" s="273">
        <f t="shared" si="7"/>
        <v>0</v>
      </c>
      <c r="H556" s="273">
        <f t="shared" si="8"/>
        <v>1</v>
      </c>
      <c r="I556" s="273">
        <f t="shared" si="9"/>
        <v>0</v>
      </c>
      <c r="J556" s="273">
        <f t="shared" si="10"/>
        <v>0</v>
      </c>
      <c r="K556" s="265"/>
    </row>
    <row r="557" spans="1:11">
      <c r="A557" s="285" t="s">
        <v>74</v>
      </c>
      <c r="B557" s="273">
        <f t="shared" si="2"/>
        <v>1</v>
      </c>
      <c r="C557" s="273">
        <f t="shared" si="3"/>
        <v>1</v>
      </c>
      <c r="D557" s="273">
        <f t="shared" si="4"/>
        <v>1</v>
      </c>
      <c r="E557" s="273">
        <f t="shared" si="5"/>
        <v>1</v>
      </c>
      <c r="F557" s="273">
        <f t="shared" si="6"/>
        <v>1</v>
      </c>
      <c r="G557" s="273">
        <f t="shared" si="7"/>
        <v>0</v>
      </c>
      <c r="H557" s="273">
        <f t="shared" si="8"/>
        <v>0</v>
      </c>
      <c r="I557" s="273">
        <f t="shared" si="9"/>
        <v>0</v>
      </c>
      <c r="J557" s="273">
        <f t="shared" si="10"/>
        <v>0</v>
      </c>
      <c r="K557" s="265"/>
    </row>
    <row r="558" spans="1:11">
      <c r="A558" s="285" t="s">
        <v>1520</v>
      </c>
      <c r="B558" s="273">
        <f t="shared" si="2"/>
        <v>1</v>
      </c>
      <c r="C558" s="273">
        <f t="shared" si="3"/>
        <v>1</v>
      </c>
      <c r="D558" s="273">
        <f t="shared" si="4"/>
        <v>1</v>
      </c>
      <c r="E558" s="273">
        <f t="shared" si="5"/>
        <v>1</v>
      </c>
      <c r="F558" s="273">
        <f t="shared" si="6"/>
        <v>1</v>
      </c>
      <c r="G558" s="273">
        <f t="shared" si="7"/>
        <v>0</v>
      </c>
      <c r="H558" s="273">
        <f t="shared" si="8"/>
        <v>0</v>
      </c>
      <c r="I558" s="273">
        <f t="shared" si="9"/>
        <v>0</v>
      </c>
      <c r="J558" s="273">
        <f t="shared" si="10"/>
        <v>0</v>
      </c>
      <c r="K558" s="265"/>
    </row>
    <row r="559" spans="1:11">
      <c r="A559" s="285" t="s">
        <v>75</v>
      </c>
      <c r="B559" s="273">
        <f t="shared" si="2"/>
        <v>1</v>
      </c>
      <c r="C559" s="273">
        <f t="shared" si="3"/>
        <v>1</v>
      </c>
      <c r="D559" s="273">
        <f t="shared" si="4"/>
        <v>1</v>
      </c>
      <c r="E559" s="273">
        <f t="shared" si="5"/>
        <v>1</v>
      </c>
      <c r="F559" s="273">
        <f t="shared" si="6"/>
        <v>1</v>
      </c>
      <c r="G559" s="273">
        <f t="shared" si="7"/>
        <v>0</v>
      </c>
      <c r="H559" s="273">
        <f t="shared" si="8"/>
        <v>0</v>
      </c>
      <c r="I559" s="273">
        <f t="shared" si="9"/>
        <v>0</v>
      </c>
      <c r="J559" s="273">
        <f t="shared" si="10"/>
        <v>0</v>
      </c>
      <c r="K559" s="265"/>
    </row>
    <row r="560" spans="1:11">
      <c r="A560" s="285" t="s">
        <v>1521</v>
      </c>
      <c r="B560" s="273">
        <f t="shared" si="2"/>
        <v>1</v>
      </c>
      <c r="C560" s="273">
        <f t="shared" si="3"/>
        <v>1</v>
      </c>
      <c r="D560" s="273">
        <f t="shared" si="4"/>
        <v>1</v>
      </c>
      <c r="E560" s="273">
        <f t="shared" si="5"/>
        <v>1</v>
      </c>
      <c r="F560" s="273">
        <f t="shared" si="6"/>
        <v>1</v>
      </c>
      <c r="G560" s="273">
        <f t="shared" si="7"/>
        <v>0</v>
      </c>
      <c r="H560" s="273">
        <f t="shared" si="8"/>
        <v>0</v>
      </c>
      <c r="I560" s="273">
        <f t="shared" si="9"/>
        <v>0</v>
      </c>
      <c r="J560" s="273">
        <f t="shared" si="10"/>
        <v>0</v>
      </c>
      <c r="K560" s="265"/>
    </row>
    <row r="562" spans="1:11" ht="21" customHeight="1">
      <c r="A562" s="1" t="s">
        <v>253</v>
      </c>
    </row>
    <row r="563" spans="1:11">
      <c r="A563" s="264" t="s">
        <v>217</v>
      </c>
    </row>
    <row r="564" spans="1:11">
      <c r="A564" s="264" t="s">
        <v>254</v>
      </c>
    </row>
    <row r="565" spans="1:11">
      <c r="A565" s="264" t="s">
        <v>255</v>
      </c>
    </row>
    <row r="566" spans="1:11">
      <c r="A566" s="269" t="s">
        <v>256</v>
      </c>
    </row>
    <row r="567" spans="1:11">
      <c r="A567" s="264" t="s">
        <v>257</v>
      </c>
    </row>
    <row r="569" spans="1:11">
      <c r="B569" s="284" t="s">
        <v>22</v>
      </c>
      <c r="C569" s="284" t="s">
        <v>23</v>
      </c>
      <c r="D569" s="284" t="s">
        <v>24</v>
      </c>
      <c r="E569" s="284" t="s">
        <v>25</v>
      </c>
      <c r="F569" s="284" t="s">
        <v>26</v>
      </c>
      <c r="G569" s="284" t="s">
        <v>31</v>
      </c>
      <c r="H569" s="284" t="s">
        <v>27</v>
      </c>
      <c r="I569" s="284" t="s">
        <v>28</v>
      </c>
      <c r="J569" s="284" t="s">
        <v>29</v>
      </c>
    </row>
    <row r="570" spans="1:11">
      <c r="A570" s="285" t="s">
        <v>54</v>
      </c>
      <c r="B570" s="274">
        <f t="shared" ref="B570:J585" si="11">B528</f>
        <v>1</v>
      </c>
      <c r="C570" s="274">
        <f t="shared" si="11"/>
        <v>1</v>
      </c>
      <c r="D570" s="274">
        <f t="shared" si="11"/>
        <v>1</v>
      </c>
      <c r="E570" s="274">
        <f t="shared" si="11"/>
        <v>1</v>
      </c>
      <c r="F570" s="274">
        <f t="shared" si="11"/>
        <v>1</v>
      </c>
      <c r="G570" s="274">
        <f t="shared" si="11"/>
        <v>0</v>
      </c>
      <c r="H570" s="274">
        <f t="shared" si="11"/>
        <v>1</v>
      </c>
      <c r="I570" s="274">
        <f t="shared" si="11"/>
        <v>1</v>
      </c>
      <c r="J570" s="274">
        <f t="shared" si="11"/>
        <v>1</v>
      </c>
      <c r="K570" s="265"/>
    </row>
    <row r="571" spans="1:11">
      <c r="A571" s="285" t="s">
        <v>55</v>
      </c>
      <c r="B571" s="274">
        <f t="shared" si="11"/>
        <v>1</v>
      </c>
      <c r="C571" s="274">
        <f t="shared" si="11"/>
        <v>1</v>
      </c>
      <c r="D571" s="274">
        <f t="shared" si="11"/>
        <v>1</v>
      </c>
      <c r="E571" s="274">
        <f t="shared" si="11"/>
        <v>1</v>
      </c>
      <c r="F571" s="274">
        <f t="shared" si="11"/>
        <v>1</v>
      </c>
      <c r="G571" s="274">
        <f t="shared" si="11"/>
        <v>0</v>
      </c>
      <c r="H571" s="274">
        <f t="shared" si="11"/>
        <v>1</v>
      </c>
      <c r="I571" s="274">
        <f t="shared" si="11"/>
        <v>1</v>
      </c>
      <c r="J571" s="274">
        <f t="shared" si="11"/>
        <v>1</v>
      </c>
      <c r="K571" s="265"/>
    </row>
    <row r="572" spans="1:11">
      <c r="A572" s="285" t="s">
        <v>91</v>
      </c>
      <c r="B572" s="274">
        <f t="shared" si="11"/>
        <v>1</v>
      </c>
      <c r="C572" s="274">
        <f t="shared" si="11"/>
        <v>1</v>
      </c>
      <c r="D572" s="274">
        <f t="shared" si="11"/>
        <v>1</v>
      </c>
      <c r="E572" s="274">
        <f t="shared" si="11"/>
        <v>1</v>
      </c>
      <c r="F572" s="274">
        <f t="shared" si="11"/>
        <v>1</v>
      </c>
      <c r="G572" s="274">
        <f t="shared" si="11"/>
        <v>0</v>
      </c>
      <c r="H572" s="274">
        <f t="shared" si="11"/>
        <v>1</v>
      </c>
      <c r="I572" s="274">
        <f t="shared" si="11"/>
        <v>1</v>
      </c>
      <c r="J572" s="274">
        <f t="shared" si="11"/>
        <v>1</v>
      </c>
      <c r="K572" s="265"/>
    </row>
    <row r="573" spans="1:11">
      <c r="A573" s="285" t="s">
        <v>56</v>
      </c>
      <c r="B573" s="274">
        <f t="shared" si="11"/>
        <v>1</v>
      </c>
      <c r="C573" s="274">
        <f t="shared" si="11"/>
        <v>1</v>
      </c>
      <c r="D573" s="274">
        <f t="shared" si="11"/>
        <v>1</v>
      </c>
      <c r="E573" s="274">
        <f t="shared" si="11"/>
        <v>1</v>
      </c>
      <c r="F573" s="274">
        <f t="shared" si="11"/>
        <v>1</v>
      </c>
      <c r="G573" s="274">
        <f t="shared" si="11"/>
        <v>0</v>
      </c>
      <c r="H573" s="274">
        <f t="shared" si="11"/>
        <v>1</v>
      </c>
      <c r="I573" s="274">
        <f t="shared" si="11"/>
        <v>1</v>
      </c>
      <c r="J573" s="274">
        <f t="shared" si="11"/>
        <v>1</v>
      </c>
      <c r="K573" s="265"/>
    </row>
    <row r="574" spans="1:11">
      <c r="A574" s="285" t="s">
        <v>57</v>
      </c>
      <c r="B574" s="274">
        <f t="shared" si="11"/>
        <v>1</v>
      </c>
      <c r="C574" s="274">
        <f t="shared" si="11"/>
        <v>1</v>
      </c>
      <c r="D574" s="274">
        <f t="shared" si="11"/>
        <v>1</v>
      </c>
      <c r="E574" s="274">
        <f t="shared" si="11"/>
        <v>1</v>
      </c>
      <c r="F574" s="274">
        <f t="shared" si="11"/>
        <v>1</v>
      </c>
      <c r="G574" s="274">
        <f t="shared" si="11"/>
        <v>0</v>
      </c>
      <c r="H574" s="274">
        <f t="shared" si="11"/>
        <v>1</v>
      </c>
      <c r="I574" s="274">
        <f t="shared" si="11"/>
        <v>1</v>
      </c>
      <c r="J574" s="274">
        <f t="shared" si="11"/>
        <v>1</v>
      </c>
      <c r="K574" s="265"/>
    </row>
    <row r="575" spans="1:11">
      <c r="A575" s="285" t="s">
        <v>92</v>
      </c>
      <c r="B575" s="274">
        <f t="shared" si="11"/>
        <v>1</v>
      </c>
      <c r="C575" s="274">
        <f t="shared" si="11"/>
        <v>1</v>
      </c>
      <c r="D575" s="274">
        <f t="shared" si="11"/>
        <v>1</v>
      </c>
      <c r="E575" s="274">
        <f t="shared" si="11"/>
        <v>1</v>
      </c>
      <c r="F575" s="274">
        <f t="shared" si="11"/>
        <v>1</v>
      </c>
      <c r="G575" s="274">
        <f t="shared" si="11"/>
        <v>0</v>
      </c>
      <c r="H575" s="274">
        <f t="shared" si="11"/>
        <v>1</v>
      </c>
      <c r="I575" s="274">
        <f t="shared" si="11"/>
        <v>1</v>
      </c>
      <c r="J575" s="274">
        <f t="shared" si="11"/>
        <v>1</v>
      </c>
      <c r="K575" s="265"/>
    </row>
    <row r="576" spans="1:11">
      <c r="A576" s="285" t="s">
        <v>58</v>
      </c>
      <c r="B576" s="274">
        <f t="shared" si="11"/>
        <v>1</v>
      </c>
      <c r="C576" s="274">
        <f t="shared" si="11"/>
        <v>1</v>
      </c>
      <c r="D576" s="274">
        <f t="shared" si="11"/>
        <v>1</v>
      </c>
      <c r="E576" s="274">
        <f t="shared" si="11"/>
        <v>1</v>
      </c>
      <c r="F576" s="274">
        <f t="shared" si="11"/>
        <v>1</v>
      </c>
      <c r="G576" s="274">
        <f t="shared" si="11"/>
        <v>0</v>
      </c>
      <c r="H576" s="274">
        <f t="shared" si="11"/>
        <v>1</v>
      </c>
      <c r="I576" s="274">
        <f t="shared" si="11"/>
        <v>1</v>
      </c>
      <c r="J576" s="274">
        <f t="shared" si="11"/>
        <v>1</v>
      </c>
      <c r="K576" s="265"/>
    </row>
    <row r="577" spans="1:11">
      <c r="A577" s="285" t="s">
        <v>59</v>
      </c>
      <c r="B577" s="274">
        <f t="shared" si="11"/>
        <v>1</v>
      </c>
      <c r="C577" s="274">
        <f t="shared" si="11"/>
        <v>1</v>
      </c>
      <c r="D577" s="274">
        <f t="shared" si="11"/>
        <v>1</v>
      </c>
      <c r="E577" s="274">
        <f t="shared" si="11"/>
        <v>1</v>
      </c>
      <c r="F577" s="274">
        <f t="shared" si="11"/>
        <v>1</v>
      </c>
      <c r="G577" s="274">
        <f t="shared" si="11"/>
        <v>0</v>
      </c>
      <c r="H577" s="274">
        <f t="shared" si="11"/>
        <v>1</v>
      </c>
      <c r="I577" s="274">
        <f t="shared" si="11"/>
        <v>1</v>
      </c>
      <c r="J577" s="274">
        <f t="shared" si="11"/>
        <v>0</v>
      </c>
      <c r="K577" s="265"/>
    </row>
    <row r="578" spans="1:11">
      <c r="A578" s="285" t="s">
        <v>72</v>
      </c>
      <c r="B578" s="274">
        <f t="shared" si="11"/>
        <v>1</v>
      </c>
      <c r="C578" s="274">
        <f t="shared" si="11"/>
        <v>1</v>
      </c>
      <c r="D578" s="274">
        <f t="shared" si="11"/>
        <v>1</v>
      </c>
      <c r="E578" s="274">
        <f t="shared" si="11"/>
        <v>1</v>
      </c>
      <c r="F578" s="274">
        <f t="shared" si="11"/>
        <v>1</v>
      </c>
      <c r="G578" s="274">
        <f t="shared" si="11"/>
        <v>0</v>
      </c>
      <c r="H578" s="274">
        <f t="shared" si="11"/>
        <v>1</v>
      </c>
      <c r="I578" s="274">
        <f t="shared" si="11"/>
        <v>0</v>
      </c>
      <c r="J578" s="274">
        <f t="shared" si="11"/>
        <v>0</v>
      </c>
      <c r="K578" s="265"/>
    </row>
    <row r="579" spans="1:11">
      <c r="A579" s="285" t="s">
        <v>1178</v>
      </c>
      <c r="B579" s="274">
        <f t="shared" si="11"/>
        <v>1</v>
      </c>
      <c r="C579" s="274">
        <f t="shared" si="11"/>
        <v>1</v>
      </c>
      <c r="D579" s="274">
        <f t="shared" si="11"/>
        <v>1</v>
      </c>
      <c r="E579" s="274">
        <f t="shared" si="11"/>
        <v>1</v>
      </c>
      <c r="F579" s="274">
        <f t="shared" si="11"/>
        <v>1</v>
      </c>
      <c r="G579" s="274">
        <f t="shared" si="11"/>
        <v>0</v>
      </c>
      <c r="H579" s="274">
        <f t="shared" si="11"/>
        <v>1</v>
      </c>
      <c r="I579" s="274">
        <f t="shared" si="11"/>
        <v>1</v>
      </c>
      <c r="J579" s="274">
        <f t="shared" si="11"/>
        <v>1</v>
      </c>
      <c r="K579" s="265"/>
    </row>
    <row r="580" spans="1:11">
      <c r="A580" s="285" t="s">
        <v>1177</v>
      </c>
      <c r="B580" s="274">
        <f t="shared" si="11"/>
        <v>1</v>
      </c>
      <c r="C580" s="274">
        <f t="shared" si="11"/>
        <v>1</v>
      </c>
      <c r="D580" s="274">
        <f t="shared" si="11"/>
        <v>1</v>
      </c>
      <c r="E580" s="274">
        <f t="shared" si="11"/>
        <v>1</v>
      </c>
      <c r="F580" s="274">
        <f t="shared" si="11"/>
        <v>1</v>
      </c>
      <c r="G580" s="274">
        <f t="shared" si="11"/>
        <v>0</v>
      </c>
      <c r="H580" s="274">
        <f t="shared" si="11"/>
        <v>1</v>
      </c>
      <c r="I580" s="274">
        <f t="shared" si="11"/>
        <v>1</v>
      </c>
      <c r="J580" s="274">
        <f t="shared" si="11"/>
        <v>1</v>
      </c>
      <c r="K580" s="265"/>
    </row>
    <row r="581" spans="1:11">
      <c r="A581" s="285" t="s">
        <v>60</v>
      </c>
      <c r="B581" s="274">
        <f t="shared" si="11"/>
        <v>1</v>
      </c>
      <c r="C581" s="274">
        <f t="shared" si="11"/>
        <v>1</v>
      </c>
      <c r="D581" s="274">
        <f t="shared" si="11"/>
        <v>1</v>
      </c>
      <c r="E581" s="274">
        <f t="shared" si="11"/>
        <v>1</v>
      </c>
      <c r="F581" s="274">
        <f t="shared" si="11"/>
        <v>1</v>
      </c>
      <c r="G581" s="274">
        <f t="shared" si="11"/>
        <v>0</v>
      </c>
      <c r="H581" s="274">
        <f t="shared" si="11"/>
        <v>1</v>
      </c>
      <c r="I581" s="274">
        <f t="shared" si="11"/>
        <v>1</v>
      </c>
      <c r="J581" s="274">
        <f t="shared" si="11"/>
        <v>1</v>
      </c>
      <c r="K581" s="265"/>
    </row>
    <row r="582" spans="1:11">
      <c r="A582" s="285" t="s">
        <v>61</v>
      </c>
      <c r="B582" s="274">
        <f t="shared" si="11"/>
        <v>1</v>
      </c>
      <c r="C582" s="274">
        <f t="shared" si="11"/>
        <v>1</v>
      </c>
      <c r="D582" s="274">
        <f t="shared" si="11"/>
        <v>1</v>
      </c>
      <c r="E582" s="274">
        <f t="shared" si="11"/>
        <v>1</v>
      </c>
      <c r="F582" s="274">
        <f t="shared" si="11"/>
        <v>1</v>
      </c>
      <c r="G582" s="274">
        <f t="shared" si="11"/>
        <v>0</v>
      </c>
      <c r="H582" s="274">
        <f t="shared" si="11"/>
        <v>1</v>
      </c>
      <c r="I582" s="274">
        <f t="shared" si="11"/>
        <v>1</v>
      </c>
      <c r="J582" s="274">
        <f t="shared" si="11"/>
        <v>0</v>
      </c>
      <c r="K582" s="265"/>
    </row>
    <row r="583" spans="1:11">
      <c r="A583" s="285" t="s">
        <v>73</v>
      </c>
      <c r="B583" s="274">
        <f t="shared" si="11"/>
        <v>1</v>
      </c>
      <c r="C583" s="274">
        <f t="shared" si="11"/>
        <v>1</v>
      </c>
      <c r="D583" s="274">
        <f t="shared" si="11"/>
        <v>1</v>
      </c>
      <c r="E583" s="274">
        <f t="shared" si="11"/>
        <v>1</v>
      </c>
      <c r="F583" s="274">
        <f t="shared" si="11"/>
        <v>1</v>
      </c>
      <c r="G583" s="274">
        <f t="shared" si="11"/>
        <v>0</v>
      </c>
      <c r="H583" s="274">
        <f t="shared" si="11"/>
        <v>1</v>
      </c>
      <c r="I583" s="274">
        <f t="shared" si="11"/>
        <v>0</v>
      </c>
      <c r="J583" s="274">
        <f t="shared" si="11"/>
        <v>0</v>
      </c>
      <c r="K583" s="265"/>
    </row>
    <row r="584" spans="1:11">
      <c r="A584" s="285" t="s">
        <v>93</v>
      </c>
      <c r="B584" s="274">
        <f t="shared" si="11"/>
        <v>1</v>
      </c>
      <c r="C584" s="274">
        <f t="shared" si="11"/>
        <v>1</v>
      </c>
      <c r="D584" s="274">
        <f t="shared" si="11"/>
        <v>1</v>
      </c>
      <c r="E584" s="274">
        <f t="shared" si="11"/>
        <v>1</v>
      </c>
      <c r="F584" s="274">
        <f t="shared" si="11"/>
        <v>1</v>
      </c>
      <c r="G584" s="274">
        <f t="shared" si="11"/>
        <v>0</v>
      </c>
      <c r="H584" s="274">
        <f t="shared" si="11"/>
        <v>1</v>
      </c>
      <c r="I584" s="274">
        <f t="shared" si="11"/>
        <v>1</v>
      </c>
      <c r="J584" s="274">
        <f t="shared" si="11"/>
        <v>1</v>
      </c>
      <c r="K584" s="265"/>
    </row>
    <row r="585" spans="1:11">
      <c r="A585" s="285" t="s">
        <v>94</v>
      </c>
      <c r="B585" s="274">
        <f t="shared" si="11"/>
        <v>1</v>
      </c>
      <c r="C585" s="274">
        <f t="shared" si="11"/>
        <v>1</v>
      </c>
      <c r="D585" s="274">
        <f t="shared" si="11"/>
        <v>1</v>
      </c>
      <c r="E585" s="274">
        <f t="shared" si="11"/>
        <v>1</v>
      </c>
      <c r="F585" s="274">
        <f t="shared" si="11"/>
        <v>1</v>
      </c>
      <c r="G585" s="274">
        <f t="shared" si="11"/>
        <v>0</v>
      </c>
      <c r="H585" s="274">
        <f t="shared" si="11"/>
        <v>1</v>
      </c>
      <c r="I585" s="274">
        <f t="shared" si="11"/>
        <v>1</v>
      </c>
      <c r="J585" s="274">
        <f t="shared" si="11"/>
        <v>1</v>
      </c>
      <c r="K585" s="265"/>
    </row>
    <row r="586" spans="1:11">
      <c r="A586" s="285" t="s">
        <v>95</v>
      </c>
      <c r="B586" s="274">
        <f t="shared" ref="B586:J601" si="12">B544</f>
        <v>1</v>
      </c>
      <c r="C586" s="274">
        <f t="shared" si="12"/>
        <v>1</v>
      </c>
      <c r="D586" s="274">
        <f t="shared" si="12"/>
        <v>1</v>
      </c>
      <c r="E586" s="274">
        <f t="shared" si="12"/>
        <v>1</v>
      </c>
      <c r="F586" s="274">
        <f t="shared" si="12"/>
        <v>1</v>
      </c>
      <c r="G586" s="274">
        <f t="shared" si="12"/>
        <v>0</v>
      </c>
      <c r="H586" s="274">
        <f t="shared" si="12"/>
        <v>1</v>
      </c>
      <c r="I586" s="274">
        <f t="shared" si="12"/>
        <v>1</v>
      </c>
      <c r="J586" s="274">
        <f t="shared" si="12"/>
        <v>1</v>
      </c>
      <c r="K586" s="265"/>
    </row>
    <row r="587" spans="1:11">
      <c r="A587" s="285" t="s">
        <v>96</v>
      </c>
      <c r="B587" s="274">
        <f t="shared" si="12"/>
        <v>1</v>
      </c>
      <c r="C587" s="274">
        <f t="shared" si="12"/>
        <v>1</v>
      </c>
      <c r="D587" s="274">
        <f t="shared" si="12"/>
        <v>1</v>
      </c>
      <c r="E587" s="274">
        <f t="shared" si="12"/>
        <v>1</v>
      </c>
      <c r="F587" s="274">
        <f t="shared" si="12"/>
        <v>1</v>
      </c>
      <c r="G587" s="274">
        <f t="shared" si="12"/>
        <v>0</v>
      </c>
      <c r="H587" s="274">
        <f t="shared" si="12"/>
        <v>1</v>
      </c>
      <c r="I587" s="274">
        <f t="shared" si="12"/>
        <v>1</v>
      </c>
      <c r="J587" s="274">
        <f t="shared" si="12"/>
        <v>1</v>
      </c>
      <c r="K587" s="265"/>
    </row>
    <row r="588" spans="1:11">
      <c r="A588" s="285" t="s">
        <v>97</v>
      </c>
      <c r="B588" s="274">
        <f t="shared" si="12"/>
        <v>1</v>
      </c>
      <c r="C588" s="274">
        <f t="shared" si="12"/>
        <v>1</v>
      </c>
      <c r="D588" s="274">
        <f t="shared" si="12"/>
        <v>1</v>
      </c>
      <c r="E588" s="274">
        <f t="shared" si="12"/>
        <v>1</v>
      </c>
      <c r="F588" s="274">
        <f t="shared" si="12"/>
        <v>1</v>
      </c>
      <c r="G588" s="274">
        <f t="shared" si="12"/>
        <v>0</v>
      </c>
      <c r="H588" s="274">
        <f t="shared" si="12"/>
        <v>1</v>
      </c>
      <c r="I588" s="274">
        <f t="shared" si="12"/>
        <v>1</v>
      </c>
      <c r="J588" s="274">
        <f t="shared" si="12"/>
        <v>1</v>
      </c>
      <c r="K588" s="265"/>
    </row>
    <row r="589" spans="1:11">
      <c r="A589" s="285" t="s">
        <v>1176</v>
      </c>
      <c r="B589" s="274">
        <f t="shared" si="12"/>
        <v>1</v>
      </c>
      <c r="C589" s="274">
        <f t="shared" si="12"/>
        <v>1</v>
      </c>
      <c r="D589" s="274">
        <f t="shared" si="12"/>
        <v>1</v>
      </c>
      <c r="E589" s="274">
        <f t="shared" si="12"/>
        <v>1</v>
      </c>
      <c r="F589" s="274">
        <f t="shared" si="12"/>
        <v>1</v>
      </c>
      <c r="G589" s="274">
        <f t="shared" si="12"/>
        <v>0</v>
      </c>
      <c r="H589" s="274">
        <f t="shared" si="12"/>
        <v>1</v>
      </c>
      <c r="I589" s="274">
        <f t="shared" si="12"/>
        <v>1</v>
      </c>
      <c r="J589" s="274">
        <f t="shared" si="12"/>
        <v>0</v>
      </c>
      <c r="K589" s="265"/>
    </row>
    <row r="590" spans="1:11">
      <c r="A590" s="285" t="s">
        <v>62</v>
      </c>
      <c r="B590" s="274">
        <f t="shared" si="12"/>
        <v>1</v>
      </c>
      <c r="C590" s="274">
        <f t="shared" si="12"/>
        <v>1</v>
      </c>
      <c r="D590" s="274">
        <f t="shared" si="12"/>
        <v>1</v>
      </c>
      <c r="E590" s="274">
        <f t="shared" si="12"/>
        <v>1</v>
      </c>
      <c r="F590" s="274">
        <f t="shared" si="12"/>
        <v>1</v>
      </c>
      <c r="G590" s="274">
        <f t="shared" si="12"/>
        <v>0</v>
      </c>
      <c r="H590" s="274">
        <f t="shared" si="12"/>
        <v>1</v>
      </c>
      <c r="I590" s="274">
        <f t="shared" si="12"/>
        <v>0</v>
      </c>
      <c r="J590" s="274">
        <f t="shared" si="12"/>
        <v>0</v>
      </c>
      <c r="K590" s="265"/>
    </row>
    <row r="591" spans="1:11">
      <c r="A591" s="285" t="s">
        <v>63</v>
      </c>
      <c r="B591" s="274">
        <f t="shared" si="12"/>
        <v>1</v>
      </c>
      <c r="C591" s="274">
        <f t="shared" si="12"/>
        <v>1</v>
      </c>
      <c r="D591" s="274">
        <f t="shared" si="12"/>
        <v>1</v>
      </c>
      <c r="E591" s="274">
        <f t="shared" si="12"/>
        <v>1</v>
      </c>
      <c r="F591" s="274">
        <f t="shared" si="12"/>
        <v>1</v>
      </c>
      <c r="G591" s="274">
        <f t="shared" si="12"/>
        <v>0</v>
      </c>
      <c r="H591" s="274">
        <f t="shared" si="12"/>
        <v>1</v>
      </c>
      <c r="I591" s="274">
        <f t="shared" si="12"/>
        <v>1</v>
      </c>
      <c r="J591" s="274">
        <f t="shared" si="12"/>
        <v>0</v>
      </c>
      <c r="K591" s="265"/>
    </row>
    <row r="592" spans="1:11">
      <c r="A592" s="285" t="s">
        <v>1516</v>
      </c>
      <c r="B592" s="274">
        <f t="shared" si="12"/>
        <v>1</v>
      </c>
      <c r="C592" s="274">
        <f t="shared" si="12"/>
        <v>1</v>
      </c>
      <c r="D592" s="274">
        <f t="shared" si="12"/>
        <v>1</v>
      </c>
      <c r="E592" s="274">
        <f t="shared" si="12"/>
        <v>1</v>
      </c>
      <c r="F592" s="274">
        <f t="shared" si="12"/>
        <v>1</v>
      </c>
      <c r="G592" s="274">
        <f t="shared" si="12"/>
        <v>0</v>
      </c>
      <c r="H592" s="274">
        <f t="shared" si="12"/>
        <v>1</v>
      </c>
      <c r="I592" s="274">
        <f t="shared" si="12"/>
        <v>1</v>
      </c>
      <c r="J592" s="274">
        <f t="shared" si="12"/>
        <v>0</v>
      </c>
      <c r="K592" s="265"/>
    </row>
    <row r="593" spans="1:11">
      <c r="A593" s="285" t="s">
        <v>64</v>
      </c>
      <c r="B593" s="274">
        <f t="shared" si="12"/>
        <v>1</v>
      </c>
      <c r="C593" s="274">
        <f t="shared" si="12"/>
        <v>1</v>
      </c>
      <c r="D593" s="274">
        <f t="shared" si="12"/>
        <v>1</v>
      </c>
      <c r="E593" s="274">
        <f t="shared" si="12"/>
        <v>1</v>
      </c>
      <c r="F593" s="274">
        <f t="shared" si="12"/>
        <v>1</v>
      </c>
      <c r="G593" s="274">
        <f t="shared" si="12"/>
        <v>0</v>
      </c>
      <c r="H593" s="274">
        <f t="shared" si="12"/>
        <v>1</v>
      </c>
      <c r="I593" s="274">
        <f t="shared" si="12"/>
        <v>1</v>
      </c>
      <c r="J593" s="274">
        <f t="shared" si="12"/>
        <v>0</v>
      </c>
      <c r="K593" s="265"/>
    </row>
    <row r="594" spans="1:11">
      <c r="A594" s="285" t="s">
        <v>1517</v>
      </c>
      <c r="B594" s="274">
        <f t="shared" si="12"/>
        <v>1</v>
      </c>
      <c r="C594" s="274">
        <f t="shared" si="12"/>
        <v>1</v>
      </c>
      <c r="D594" s="274">
        <f t="shared" si="12"/>
        <v>1</v>
      </c>
      <c r="E594" s="274">
        <f t="shared" si="12"/>
        <v>1</v>
      </c>
      <c r="F594" s="274">
        <f t="shared" si="12"/>
        <v>1</v>
      </c>
      <c r="G594" s="274">
        <f t="shared" si="12"/>
        <v>0</v>
      </c>
      <c r="H594" s="274">
        <f t="shared" si="12"/>
        <v>1</v>
      </c>
      <c r="I594" s="274">
        <f t="shared" si="12"/>
        <v>1</v>
      </c>
      <c r="J594" s="274">
        <f t="shared" si="12"/>
        <v>0</v>
      </c>
      <c r="K594" s="265"/>
    </row>
    <row r="595" spans="1:11">
      <c r="A595" s="285" t="s">
        <v>65</v>
      </c>
      <c r="B595" s="274">
        <f t="shared" si="12"/>
        <v>1</v>
      </c>
      <c r="C595" s="274">
        <f t="shared" si="12"/>
        <v>1</v>
      </c>
      <c r="D595" s="274">
        <f t="shared" si="12"/>
        <v>1</v>
      </c>
      <c r="E595" s="274">
        <f t="shared" si="12"/>
        <v>1</v>
      </c>
      <c r="F595" s="274">
        <f t="shared" si="12"/>
        <v>1</v>
      </c>
      <c r="G595" s="274">
        <f t="shared" si="12"/>
        <v>0</v>
      </c>
      <c r="H595" s="274">
        <f t="shared" si="12"/>
        <v>1</v>
      </c>
      <c r="I595" s="274">
        <f t="shared" si="12"/>
        <v>0</v>
      </c>
      <c r="J595" s="274">
        <f t="shared" si="12"/>
        <v>0</v>
      </c>
      <c r="K595" s="265"/>
    </row>
    <row r="596" spans="1:11">
      <c r="A596" s="285" t="s">
        <v>1518</v>
      </c>
      <c r="B596" s="274">
        <f t="shared" si="12"/>
        <v>1</v>
      </c>
      <c r="C596" s="274">
        <f t="shared" si="12"/>
        <v>1</v>
      </c>
      <c r="D596" s="274">
        <f t="shared" si="12"/>
        <v>1</v>
      </c>
      <c r="E596" s="274">
        <f t="shared" si="12"/>
        <v>1</v>
      </c>
      <c r="F596" s="274">
        <f t="shared" si="12"/>
        <v>1</v>
      </c>
      <c r="G596" s="274">
        <f t="shared" si="12"/>
        <v>0</v>
      </c>
      <c r="H596" s="274">
        <f t="shared" si="12"/>
        <v>1</v>
      </c>
      <c r="I596" s="274">
        <f t="shared" si="12"/>
        <v>0</v>
      </c>
      <c r="J596" s="274">
        <f t="shared" si="12"/>
        <v>0</v>
      </c>
      <c r="K596" s="265"/>
    </row>
    <row r="597" spans="1:11">
      <c r="A597" s="285" t="s">
        <v>66</v>
      </c>
      <c r="B597" s="274">
        <f t="shared" si="12"/>
        <v>1</v>
      </c>
      <c r="C597" s="274">
        <f t="shared" si="12"/>
        <v>1</v>
      </c>
      <c r="D597" s="274">
        <f t="shared" si="12"/>
        <v>1</v>
      </c>
      <c r="E597" s="274">
        <f t="shared" si="12"/>
        <v>1</v>
      </c>
      <c r="F597" s="274">
        <f t="shared" si="12"/>
        <v>1</v>
      </c>
      <c r="G597" s="274">
        <f t="shared" si="12"/>
        <v>0</v>
      </c>
      <c r="H597" s="274">
        <f t="shared" si="12"/>
        <v>1</v>
      </c>
      <c r="I597" s="274">
        <f t="shared" si="12"/>
        <v>0</v>
      </c>
      <c r="J597" s="274">
        <f t="shared" si="12"/>
        <v>0</v>
      </c>
      <c r="K597" s="265"/>
    </row>
    <row r="598" spans="1:11">
      <c r="A598" s="285" t="s">
        <v>1519</v>
      </c>
      <c r="B598" s="274">
        <f t="shared" si="12"/>
        <v>1</v>
      </c>
      <c r="C598" s="274">
        <f t="shared" si="12"/>
        <v>1</v>
      </c>
      <c r="D598" s="274">
        <f t="shared" si="12"/>
        <v>1</v>
      </c>
      <c r="E598" s="274">
        <f t="shared" si="12"/>
        <v>1</v>
      </c>
      <c r="F598" s="274">
        <f t="shared" si="12"/>
        <v>1</v>
      </c>
      <c r="G598" s="274">
        <f t="shared" si="12"/>
        <v>0</v>
      </c>
      <c r="H598" s="274">
        <f t="shared" si="12"/>
        <v>1</v>
      </c>
      <c r="I598" s="274">
        <f t="shared" si="12"/>
        <v>0</v>
      </c>
      <c r="J598" s="274">
        <f t="shared" si="12"/>
        <v>0</v>
      </c>
      <c r="K598" s="265"/>
    </row>
    <row r="599" spans="1:11">
      <c r="A599" s="285" t="s">
        <v>74</v>
      </c>
      <c r="B599" s="274">
        <f t="shared" si="12"/>
        <v>1</v>
      </c>
      <c r="C599" s="274">
        <f t="shared" si="12"/>
        <v>1</v>
      </c>
      <c r="D599" s="274">
        <f t="shared" si="12"/>
        <v>1</v>
      </c>
      <c r="E599" s="274">
        <f t="shared" si="12"/>
        <v>1</v>
      </c>
      <c r="F599" s="274">
        <f t="shared" si="12"/>
        <v>1</v>
      </c>
      <c r="G599" s="274">
        <f t="shared" si="12"/>
        <v>0</v>
      </c>
      <c r="H599" s="274">
        <f t="shared" si="12"/>
        <v>0</v>
      </c>
      <c r="I599" s="274">
        <f t="shared" si="12"/>
        <v>0</v>
      </c>
      <c r="J599" s="274">
        <f t="shared" si="12"/>
        <v>0</v>
      </c>
      <c r="K599" s="265"/>
    </row>
    <row r="600" spans="1:11">
      <c r="A600" s="285" t="s">
        <v>1520</v>
      </c>
      <c r="B600" s="274">
        <f t="shared" si="12"/>
        <v>1</v>
      </c>
      <c r="C600" s="274">
        <f t="shared" si="12"/>
        <v>1</v>
      </c>
      <c r="D600" s="274">
        <f t="shared" si="12"/>
        <v>1</v>
      </c>
      <c r="E600" s="274">
        <f t="shared" si="12"/>
        <v>1</v>
      </c>
      <c r="F600" s="274">
        <f t="shared" si="12"/>
        <v>1</v>
      </c>
      <c r="G600" s="274">
        <f t="shared" si="12"/>
        <v>0</v>
      </c>
      <c r="H600" s="274">
        <f t="shared" si="12"/>
        <v>0</v>
      </c>
      <c r="I600" s="274">
        <f t="shared" si="12"/>
        <v>0</v>
      </c>
      <c r="J600" s="274">
        <f t="shared" si="12"/>
        <v>0</v>
      </c>
      <c r="K600" s="265"/>
    </row>
    <row r="601" spans="1:11">
      <c r="A601" s="285" t="s">
        <v>75</v>
      </c>
      <c r="B601" s="274">
        <f t="shared" si="12"/>
        <v>1</v>
      </c>
      <c r="C601" s="274">
        <f t="shared" si="12"/>
        <v>1</v>
      </c>
      <c r="D601" s="274">
        <f t="shared" si="12"/>
        <v>1</v>
      </c>
      <c r="E601" s="274">
        <f t="shared" si="12"/>
        <v>1</v>
      </c>
      <c r="F601" s="274">
        <f t="shared" si="12"/>
        <v>1</v>
      </c>
      <c r="G601" s="274">
        <f t="shared" si="12"/>
        <v>0</v>
      </c>
      <c r="H601" s="274">
        <f t="shared" si="12"/>
        <v>0</v>
      </c>
      <c r="I601" s="274">
        <f t="shared" si="12"/>
        <v>0</v>
      </c>
      <c r="J601" s="274">
        <f t="shared" si="12"/>
        <v>0</v>
      </c>
      <c r="K601" s="265"/>
    </row>
    <row r="602" spans="1:11">
      <c r="A602" s="285" t="s">
        <v>1521</v>
      </c>
      <c r="B602" s="274">
        <f t="shared" ref="B602:J602" si="13">B560</f>
        <v>1</v>
      </c>
      <c r="C602" s="274">
        <f t="shared" si="13"/>
        <v>1</v>
      </c>
      <c r="D602" s="274">
        <f t="shared" si="13"/>
        <v>1</v>
      </c>
      <c r="E602" s="274">
        <f t="shared" si="13"/>
        <v>1</v>
      </c>
      <c r="F602" s="274">
        <f t="shared" si="13"/>
        <v>1</v>
      </c>
      <c r="G602" s="274">
        <f t="shared" si="13"/>
        <v>0</v>
      </c>
      <c r="H602" s="274">
        <f t="shared" si="13"/>
        <v>0</v>
      </c>
      <c r="I602" s="274">
        <f t="shared" si="13"/>
        <v>0</v>
      </c>
      <c r="J602" s="274">
        <f t="shared" si="13"/>
        <v>0</v>
      </c>
      <c r="K602" s="265"/>
    </row>
    <row r="604" spans="1:11" ht="21" customHeight="1">
      <c r="A604" s="1" t="s">
        <v>258</v>
      </c>
    </row>
    <row r="605" spans="1:11">
      <c r="A605" s="264" t="s">
        <v>217</v>
      </c>
    </row>
    <row r="606" spans="1:11">
      <c r="A606" s="269" t="s">
        <v>259</v>
      </c>
    </row>
    <row r="607" spans="1:11">
      <c r="A607" s="269" t="s">
        <v>260</v>
      </c>
    </row>
    <row r="608" spans="1:11">
      <c r="A608" s="269" t="s">
        <v>261</v>
      </c>
    </row>
    <row r="609" spans="1:11">
      <c r="A609" s="264" t="s">
        <v>262</v>
      </c>
    </row>
    <row r="611" spans="1:11">
      <c r="B611" s="284" t="s">
        <v>22</v>
      </c>
      <c r="C611" s="284" t="s">
        <v>23</v>
      </c>
      <c r="D611" s="284" t="s">
        <v>24</v>
      </c>
      <c r="E611" s="284" t="s">
        <v>25</v>
      </c>
      <c r="F611" s="284" t="s">
        <v>26</v>
      </c>
      <c r="G611" s="284" t="s">
        <v>31</v>
      </c>
      <c r="H611" s="284" t="s">
        <v>27</v>
      </c>
      <c r="I611" s="284" t="s">
        <v>28</v>
      </c>
      <c r="J611" s="284" t="s">
        <v>29</v>
      </c>
    </row>
    <row r="612" spans="1:11">
      <c r="A612" s="285" t="s">
        <v>54</v>
      </c>
      <c r="B612" s="273">
        <f t="shared" ref="B612:J627" si="14">IF(B$434="",B570,B570*$I365/B$434)</f>
        <v>1.0620000000000001</v>
      </c>
      <c r="C612" s="273">
        <f t="shared" si="14"/>
        <v>1.0598802395209581</v>
      </c>
      <c r="D612" s="273">
        <f t="shared" si="14"/>
        <v>1.0556660039761432</v>
      </c>
      <c r="E612" s="273">
        <f t="shared" si="14"/>
        <v>1.0494071146245059</v>
      </c>
      <c r="F612" s="273">
        <f t="shared" si="14"/>
        <v>1.0401567091087172</v>
      </c>
      <c r="G612" s="273">
        <f t="shared" si="14"/>
        <v>0</v>
      </c>
      <c r="H612" s="273">
        <f t="shared" si="14"/>
        <v>1.023121387283237</v>
      </c>
      <c r="I612" s="273">
        <f t="shared" si="14"/>
        <v>1.0123927550047667</v>
      </c>
      <c r="J612" s="273">
        <f t="shared" si="14"/>
        <v>1</v>
      </c>
      <c r="K612" s="265"/>
    </row>
    <row r="613" spans="1:11">
      <c r="A613" s="285" t="s">
        <v>55</v>
      </c>
      <c r="B613" s="273">
        <f t="shared" si="14"/>
        <v>1.0620000000000001</v>
      </c>
      <c r="C613" s="273">
        <f t="shared" si="14"/>
        <v>1.0598802395209581</v>
      </c>
      <c r="D613" s="273">
        <f t="shared" si="14"/>
        <v>1.0556660039761432</v>
      </c>
      <c r="E613" s="273">
        <f t="shared" si="14"/>
        <v>1.0494071146245059</v>
      </c>
      <c r="F613" s="273">
        <f t="shared" si="14"/>
        <v>1.0401567091087172</v>
      </c>
      <c r="G613" s="273">
        <f t="shared" si="14"/>
        <v>0</v>
      </c>
      <c r="H613" s="273">
        <f t="shared" si="14"/>
        <v>1.023121387283237</v>
      </c>
      <c r="I613" s="273">
        <f t="shared" si="14"/>
        <v>1.0123927550047667</v>
      </c>
      <c r="J613" s="273">
        <f t="shared" si="14"/>
        <v>1</v>
      </c>
      <c r="K613" s="265"/>
    </row>
    <row r="614" spans="1:11">
      <c r="A614" s="285" t="s">
        <v>91</v>
      </c>
      <c r="B614" s="273">
        <f t="shared" si="14"/>
        <v>1.0620000000000001</v>
      </c>
      <c r="C614" s="273">
        <f t="shared" si="14"/>
        <v>1.0598802395209581</v>
      </c>
      <c r="D614" s="273">
        <f t="shared" si="14"/>
        <v>1.0556660039761432</v>
      </c>
      <c r="E614" s="273">
        <f t="shared" si="14"/>
        <v>1.0494071146245059</v>
      </c>
      <c r="F614" s="273">
        <f t="shared" si="14"/>
        <v>1.0401567091087172</v>
      </c>
      <c r="G614" s="273">
        <f t="shared" si="14"/>
        <v>0</v>
      </c>
      <c r="H614" s="273">
        <f t="shared" si="14"/>
        <v>1.023121387283237</v>
      </c>
      <c r="I614" s="273">
        <f t="shared" si="14"/>
        <v>1.0123927550047667</v>
      </c>
      <c r="J614" s="273">
        <f t="shared" si="14"/>
        <v>1</v>
      </c>
      <c r="K614" s="265"/>
    </row>
    <row r="615" spans="1:11">
      <c r="A615" s="285" t="s">
        <v>56</v>
      </c>
      <c r="B615" s="273">
        <f t="shared" si="14"/>
        <v>1.0620000000000001</v>
      </c>
      <c r="C615" s="273">
        <f t="shared" si="14"/>
        <v>1.0598802395209581</v>
      </c>
      <c r="D615" s="273">
        <f t="shared" si="14"/>
        <v>1.0556660039761432</v>
      </c>
      <c r="E615" s="273">
        <f t="shared" si="14"/>
        <v>1.0494071146245059</v>
      </c>
      <c r="F615" s="273">
        <f t="shared" si="14"/>
        <v>1.0401567091087172</v>
      </c>
      <c r="G615" s="273">
        <f t="shared" si="14"/>
        <v>0</v>
      </c>
      <c r="H615" s="273">
        <f t="shared" si="14"/>
        <v>1.023121387283237</v>
      </c>
      <c r="I615" s="273">
        <f t="shared" si="14"/>
        <v>1.0123927550047667</v>
      </c>
      <c r="J615" s="273">
        <f t="shared" si="14"/>
        <v>1</v>
      </c>
      <c r="K615" s="265"/>
    </row>
    <row r="616" spans="1:11">
      <c r="A616" s="285" t="s">
        <v>57</v>
      </c>
      <c r="B616" s="273">
        <f t="shared" si="14"/>
        <v>1.0620000000000001</v>
      </c>
      <c r="C616" s="273">
        <f t="shared" si="14"/>
        <v>1.0598802395209581</v>
      </c>
      <c r="D616" s="273">
        <f t="shared" si="14"/>
        <v>1.0556660039761432</v>
      </c>
      <c r="E616" s="273">
        <f t="shared" si="14"/>
        <v>1.0494071146245059</v>
      </c>
      <c r="F616" s="273">
        <f t="shared" si="14"/>
        <v>1.0401567091087172</v>
      </c>
      <c r="G616" s="273">
        <f t="shared" si="14"/>
        <v>0</v>
      </c>
      <c r="H616" s="273">
        <f t="shared" si="14"/>
        <v>1.023121387283237</v>
      </c>
      <c r="I616" s="273">
        <f t="shared" si="14"/>
        <v>1.0123927550047667</v>
      </c>
      <c r="J616" s="273">
        <f t="shared" si="14"/>
        <v>1</v>
      </c>
      <c r="K616" s="265"/>
    </row>
    <row r="617" spans="1:11">
      <c r="A617" s="285" t="s">
        <v>92</v>
      </c>
      <c r="B617" s="273">
        <f t="shared" si="14"/>
        <v>1.0620000000000001</v>
      </c>
      <c r="C617" s="273">
        <f t="shared" si="14"/>
        <v>1.0598802395209581</v>
      </c>
      <c r="D617" s="273">
        <f t="shared" si="14"/>
        <v>1.0556660039761432</v>
      </c>
      <c r="E617" s="273">
        <f t="shared" si="14"/>
        <v>1.0494071146245059</v>
      </c>
      <c r="F617" s="273">
        <f t="shared" si="14"/>
        <v>1.0401567091087172</v>
      </c>
      <c r="G617" s="273">
        <f t="shared" si="14"/>
        <v>0</v>
      </c>
      <c r="H617" s="273">
        <f t="shared" si="14"/>
        <v>1.023121387283237</v>
      </c>
      <c r="I617" s="273">
        <f t="shared" si="14"/>
        <v>1.0123927550047667</v>
      </c>
      <c r="J617" s="273">
        <f t="shared" si="14"/>
        <v>1</v>
      </c>
      <c r="K617" s="265"/>
    </row>
    <row r="618" spans="1:11">
      <c r="A618" s="285" t="s">
        <v>58</v>
      </c>
      <c r="B618" s="273">
        <f t="shared" si="14"/>
        <v>1.0620000000000001</v>
      </c>
      <c r="C618" s="273">
        <f t="shared" si="14"/>
        <v>1.0598802395209581</v>
      </c>
      <c r="D618" s="273">
        <f t="shared" si="14"/>
        <v>1.0556660039761432</v>
      </c>
      <c r="E618" s="273">
        <f t="shared" si="14"/>
        <v>1.0494071146245059</v>
      </c>
      <c r="F618" s="273">
        <f t="shared" si="14"/>
        <v>1.0401567091087172</v>
      </c>
      <c r="G618" s="273">
        <f t="shared" si="14"/>
        <v>0</v>
      </c>
      <c r="H618" s="273">
        <f t="shared" si="14"/>
        <v>1.023121387283237</v>
      </c>
      <c r="I618" s="273">
        <f t="shared" si="14"/>
        <v>1.0123927550047667</v>
      </c>
      <c r="J618" s="273">
        <f t="shared" si="14"/>
        <v>1</v>
      </c>
      <c r="K618" s="265"/>
    </row>
    <row r="619" spans="1:11">
      <c r="A619" s="285" t="s">
        <v>59</v>
      </c>
      <c r="B619" s="273">
        <f t="shared" si="14"/>
        <v>1.0489999999999999</v>
      </c>
      <c r="C619" s="273">
        <f t="shared" si="14"/>
        <v>1.0469061876247505</v>
      </c>
      <c r="D619" s="273">
        <f t="shared" si="14"/>
        <v>1.0427435387673956</v>
      </c>
      <c r="E619" s="273">
        <f t="shared" si="14"/>
        <v>1.0365612648221343</v>
      </c>
      <c r="F619" s="273">
        <f t="shared" si="14"/>
        <v>1.0274240940254653</v>
      </c>
      <c r="G619" s="273">
        <f t="shared" si="14"/>
        <v>0</v>
      </c>
      <c r="H619" s="273">
        <f t="shared" si="14"/>
        <v>1.0105973025048169</v>
      </c>
      <c r="I619" s="273">
        <f t="shared" si="14"/>
        <v>1</v>
      </c>
      <c r="J619" s="273">
        <f t="shared" si="14"/>
        <v>0</v>
      </c>
      <c r="K619" s="265"/>
    </row>
    <row r="620" spans="1:11">
      <c r="A620" s="285" t="s">
        <v>72</v>
      </c>
      <c r="B620" s="273">
        <f t="shared" si="14"/>
        <v>1.038</v>
      </c>
      <c r="C620" s="273">
        <f t="shared" si="14"/>
        <v>1.0359281437125749</v>
      </c>
      <c r="D620" s="273">
        <f t="shared" si="14"/>
        <v>1.0318091451292246</v>
      </c>
      <c r="E620" s="273">
        <f t="shared" si="14"/>
        <v>1.0256916996047432</v>
      </c>
      <c r="F620" s="273">
        <f t="shared" si="14"/>
        <v>1.0166503428011755</v>
      </c>
      <c r="G620" s="273">
        <f t="shared" si="14"/>
        <v>0</v>
      </c>
      <c r="H620" s="273">
        <f t="shared" si="14"/>
        <v>1</v>
      </c>
      <c r="I620" s="273">
        <f t="shared" si="14"/>
        <v>0</v>
      </c>
      <c r="J620" s="273">
        <f t="shared" si="14"/>
        <v>0</v>
      </c>
      <c r="K620" s="265"/>
    </row>
    <row r="621" spans="1:11">
      <c r="A621" s="285" t="s">
        <v>1178</v>
      </c>
      <c r="B621" s="273">
        <f t="shared" si="14"/>
        <v>1.0620000000000001</v>
      </c>
      <c r="C621" s="273">
        <f t="shared" si="14"/>
        <v>1.0598802395209581</v>
      </c>
      <c r="D621" s="273">
        <f t="shared" si="14"/>
        <v>1.0556660039761432</v>
      </c>
      <c r="E621" s="273">
        <f t="shared" si="14"/>
        <v>1.0494071146245059</v>
      </c>
      <c r="F621" s="273">
        <f t="shared" si="14"/>
        <v>1.0401567091087172</v>
      </c>
      <c r="G621" s="273">
        <f t="shared" si="14"/>
        <v>0</v>
      </c>
      <c r="H621" s="273">
        <f t="shared" si="14"/>
        <v>1.023121387283237</v>
      </c>
      <c r="I621" s="273">
        <f t="shared" si="14"/>
        <v>1.0123927550047667</v>
      </c>
      <c r="J621" s="273">
        <f t="shared" si="14"/>
        <v>1</v>
      </c>
      <c r="K621" s="265"/>
    </row>
    <row r="622" spans="1:11">
      <c r="A622" s="285" t="s">
        <v>1177</v>
      </c>
      <c r="B622" s="273">
        <f t="shared" si="14"/>
        <v>1.0620000000000001</v>
      </c>
      <c r="C622" s="273">
        <f t="shared" si="14"/>
        <v>1.0598802395209581</v>
      </c>
      <c r="D622" s="273">
        <f t="shared" si="14"/>
        <v>1.0556660039761432</v>
      </c>
      <c r="E622" s="273">
        <f t="shared" si="14"/>
        <v>1.0494071146245059</v>
      </c>
      <c r="F622" s="273">
        <f t="shared" si="14"/>
        <v>1.0401567091087172</v>
      </c>
      <c r="G622" s="273">
        <f t="shared" si="14"/>
        <v>0</v>
      </c>
      <c r="H622" s="273">
        <f t="shared" si="14"/>
        <v>1.023121387283237</v>
      </c>
      <c r="I622" s="273">
        <f t="shared" si="14"/>
        <v>1.0123927550047667</v>
      </c>
      <c r="J622" s="273">
        <f t="shared" si="14"/>
        <v>1</v>
      </c>
      <c r="K622" s="265"/>
    </row>
    <row r="623" spans="1:11">
      <c r="A623" s="285" t="s">
        <v>60</v>
      </c>
      <c r="B623" s="273">
        <f t="shared" si="14"/>
        <v>1.0620000000000001</v>
      </c>
      <c r="C623" s="273">
        <f t="shared" si="14"/>
        <v>1.0598802395209581</v>
      </c>
      <c r="D623" s="273">
        <f t="shared" si="14"/>
        <v>1.0556660039761432</v>
      </c>
      <c r="E623" s="273">
        <f t="shared" si="14"/>
        <v>1.0494071146245059</v>
      </c>
      <c r="F623" s="273">
        <f t="shared" si="14"/>
        <v>1.0401567091087172</v>
      </c>
      <c r="G623" s="273">
        <f t="shared" si="14"/>
        <v>0</v>
      </c>
      <c r="H623" s="273">
        <f t="shared" si="14"/>
        <v>1.023121387283237</v>
      </c>
      <c r="I623" s="273">
        <f t="shared" si="14"/>
        <v>1.0123927550047667</v>
      </c>
      <c r="J623" s="273">
        <f t="shared" si="14"/>
        <v>1</v>
      </c>
      <c r="K623" s="265"/>
    </row>
    <row r="624" spans="1:11">
      <c r="A624" s="285" t="s">
        <v>61</v>
      </c>
      <c r="B624" s="273">
        <f t="shared" si="14"/>
        <v>1.0489999999999999</v>
      </c>
      <c r="C624" s="273">
        <f t="shared" si="14"/>
        <v>1.0469061876247505</v>
      </c>
      <c r="D624" s="273">
        <f t="shared" si="14"/>
        <v>1.0427435387673956</v>
      </c>
      <c r="E624" s="273">
        <f t="shared" si="14"/>
        <v>1.0365612648221343</v>
      </c>
      <c r="F624" s="273">
        <f t="shared" si="14"/>
        <v>1.0274240940254653</v>
      </c>
      <c r="G624" s="273">
        <f t="shared" si="14"/>
        <v>0</v>
      </c>
      <c r="H624" s="273">
        <f t="shared" si="14"/>
        <v>1.0105973025048169</v>
      </c>
      <c r="I624" s="273">
        <f t="shared" si="14"/>
        <v>1</v>
      </c>
      <c r="J624" s="273">
        <f t="shared" si="14"/>
        <v>0</v>
      </c>
      <c r="K624" s="265"/>
    </row>
    <row r="625" spans="1:11">
      <c r="A625" s="285" t="s">
        <v>73</v>
      </c>
      <c r="B625" s="273">
        <f t="shared" si="14"/>
        <v>1.038</v>
      </c>
      <c r="C625" s="273">
        <f t="shared" si="14"/>
        <v>1.0359281437125749</v>
      </c>
      <c r="D625" s="273">
        <f t="shared" si="14"/>
        <v>1.0318091451292246</v>
      </c>
      <c r="E625" s="273">
        <f t="shared" si="14"/>
        <v>1.0256916996047432</v>
      </c>
      <c r="F625" s="273">
        <f t="shared" si="14"/>
        <v>1.0166503428011755</v>
      </c>
      <c r="G625" s="273">
        <f t="shared" si="14"/>
        <v>0</v>
      </c>
      <c r="H625" s="273">
        <f t="shared" si="14"/>
        <v>1</v>
      </c>
      <c r="I625" s="273">
        <f t="shared" si="14"/>
        <v>0</v>
      </c>
      <c r="J625" s="273">
        <f t="shared" si="14"/>
        <v>0</v>
      </c>
      <c r="K625" s="265"/>
    </row>
    <row r="626" spans="1:11">
      <c r="A626" s="285" t="s">
        <v>93</v>
      </c>
      <c r="B626" s="273">
        <f t="shared" si="14"/>
        <v>1.0620000000000001</v>
      </c>
      <c r="C626" s="273">
        <f t="shared" si="14"/>
        <v>1.0598802395209581</v>
      </c>
      <c r="D626" s="273">
        <f t="shared" si="14"/>
        <v>1.0556660039761432</v>
      </c>
      <c r="E626" s="273">
        <f t="shared" si="14"/>
        <v>1.0494071146245059</v>
      </c>
      <c r="F626" s="273">
        <f t="shared" si="14"/>
        <v>1.0401567091087172</v>
      </c>
      <c r="G626" s="273">
        <f t="shared" si="14"/>
        <v>0</v>
      </c>
      <c r="H626" s="273">
        <f t="shared" si="14"/>
        <v>1.023121387283237</v>
      </c>
      <c r="I626" s="273">
        <f t="shared" si="14"/>
        <v>1.0123927550047667</v>
      </c>
      <c r="J626" s="273">
        <f t="shared" si="14"/>
        <v>1</v>
      </c>
      <c r="K626" s="265"/>
    </row>
    <row r="627" spans="1:11">
      <c r="A627" s="285" t="s">
        <v>94</v>
      </c>
      <c r="B627" s="273">
        <f t="shared" si="14"/>
        <v>1.0620000000000001</v>
      </c>
      <c r="C627" s="273">
        <f t="shared" si="14"/>
        <v>1.0598802395209581</v>
      </c>
      <c r="D627" s="273">
        <f t="shared" si="14"/>
        <v>1.0556660039761432</v>
      </c>
      <c r="E627" s="273">
        <f t="shared" si="14"/>
        <v>1.0494071146245059</v>
      </c>
      <c r="F627" s="273">
        <f t="shared" si="14"/>
        <v>1.0401567091087172</v>
      </c>
      <c r="G627" s="273">
        <f t="shared" si="14"/>
        <v>0</v>
      </c>
      <c r="H627" s="273">
        <f t="shared" si="14"/>
        <v>1.023121387283237</v>
      </c>
      <c r="I627" s="273">
        <f t="shared" si="14"/>
        <v>1.0123927550047667</v>
      </c>
      <c r="J627" s="273">
        <f t="shared" si="14"/>
        <v>1</v>
      </c>
      <c r="K627" s="265"/>
    </row>
    <row r="628" spans="1:11">
      <c r="A628" s="285" t="s">
        <v>95</v>
      </c>
      <c r="B628" s="273">
        <f t="shared" ref="B628:J643" si="15">IF(B$434="",B586,B586*$I381/B$434)</f>
        <v>1.0620000000000001</v>
      </c>
      <c r="C628" s="273">
        <f t="shared" si="15"/>
        <v>1.0598802395209581</v>
      </c>
      <c r="D628" s="273">
        <f t="shared" si="15"/>
        <v>1.0556660039761432</v>
      </c>
      <c r="E628" s="273">
        <f t="shared" si="15"/>
        <v>1.0494071146245059</v>
      </c>
      <c r="F628" s="273">
        <f t="shared" si="15"/>
        <v>1.0401567091087172</v>
      </c>
      <c r="G628" s="273">
        <f t="shared" si="15"/>
        <v>0</v>
      </c>
      <c r="H628" s="273">
        <f t="shared" si="15"/>
        <v>1.023121387283237</v>
      </c>
      <c r="I628" s="273">
        <f t="shared" si="15"/>
        <v>1.0123927550047667</v>
      </c>
      <c r="J628" s="273">
        <f t="shared" si="15"/>
        <v>1</v>
      </c>
      <c r="K628" s="265"/>
    </row>
    <row r="629" spans="1:11">
      <c r="A629" s="285" t="s">
        <v>96</v>
      </c>
      <c r="B629" s="273">
        <f t="shared" si="15"/>
        <v>1.0620000000000001</v>
      </c>
      <c r="C629" s="273">
        <f t="shared" si="15"/>
        <v>1.0598802395209581</v>
      </c>
      <c r="D629" s="273">
        <f t="shared" si="15"/>
        <v>1.0556660039761432</v>
      </c>
      <c r="E629" s="273">
        <f t="shared" si="15"/>
        <v>1.0494071146245059</v>
      </c>
      <c r="F629" s="273">
        <f t="shared" si="15"/>
        <v>1.0401567091087172</v>
      </c>
      <c r="G629" s="273">
        <f t="shared" si="15"/>
        <v>0</v>
      </c>
      <c r="H629" s="273">
        <f t="shared" si="15"/>
        <v>1.023121387283237</v>
      </c>
      <c r="I629" s="273">
        <f t="shared" si="15"/>
        <v>1.0123927550047667</v>
      </c>
      <c r="J629" s="273">
        <f t="shared" si="15"/>
        <v>1</v>
      </c>
      <c r="K629" s="265"/>
    </row>
    <row r="630" spans="1:11">
      <c r="A630" s="285" t="s">
        <v>97</v>
      </c>
      <c r="B630" s="273">
        <f t="shared" si="15"/>
        <v>1.0620000000000001</v>
      </c>
      <c r="C630" s="273">
        <f t="shared" si="15"/>
        <v>1.0598802395209581</v>
      </c>
      <c r="D630" s="273">
        <f t="shared" si="15"/>
        <v>1.0556660039761432</v>
      </c>
      <c r="E630" s="273">
        <f t="shared" si="15"/>
        <v>1.0494071146245059</v>
      </c>
      <c r="F630" s="273">
        <f t="shared" si="15"/>
        <v>1.0401567091087172</v>
      </c>
      <c r="G630" s="273">
        <f t="shared" si="15"/>
        <v>0</v>
      </c>
      <c r="H630" s="273">
        <f t="shared" si="15"/>
        <v>1.023121387283237</v>
      </c>
      <c r="I630" s="273">
        <f t="shared" si="15"/>
        <v>1.0123927550047667</v>
      </c>
      <c r="J630" s="273">
        <f t="shared" si="15"/>
        <v>1</v>
      </c>
      <c r="K630" s="265"/>
    </row>
    <row r="631" spans="1:11">
      <c r="A631" s="285" t="s">
        <v>1176</v>
      </c>
      <c r="B631" s="273">
        <f t="shared" si="15"/>
        <v>1.0620000000000001</v>
      </c>
      <c r="C631" s="273">
        <f t="shared" si="15"/>
        <v>1.0598802395209581</v>
      </c>
      <c r="D631" s="273">
        <f t="shared" si="15"/>
        <v>1.0556660039761432</v>
      </c>
      <c r="E631" s="273">
        <f t="shared" si="15"/>
        <v>1.0494071146245059</v>
      </c>
      <c r="F631" s="273">
        <f t="shared" si="15"/>
        <v>1.0401567091087172</v>
      </c>
      <c r="G631" s="273">
        <f t="shared" si="15"/>
        <v>0</v>
      </c>
      <c r="H631" s="273">
        <f t="shared" si="15"/>
        <v>1.023121387283237</v>
      </c>
      <c r="I631" s="273">
        <f t="shared" si="15"/>
        <v>1.0123927550047667</v>
      </c>
      <c r="J631" s="273">
        <f t="shared" si="15"/>
        <v>0</v>
      </c>
      <c r="K631" s="265"/>
    </row>
    <row r="632" spans="1:11">
      <c r="A632" s="285" t="s">
        <v>62</v>
      </c>
      <c r="B632" s="273">
        <f t="shared" si="15"/>
        <v>1.0489999999999999</v>
      </c>
      <c r="C632" s="273">
        <f t="shared" si="15"/>
        <v>1.0469061876247505</v>
      </c>
      <c r="D632" s="273">
        <f t="shared" si="15"/>
        <v>1.0427435387673956</v>
      </c>
      <c r="E632" s="273">
        <f t="shared" si="15"/>
        <v>1.0365612648221343</v>
      </c>
      <c r="F632" s="273">
        <f t="shared" si="15"/>
        <v>1.0274240940254653</v>
      </c>
      <c r="G632" s="273">
        <f t="shared" si="15"/>
        <v>0</v>
      </c>
      <c r="H632" s="273">
        <f t="shared" si="15"/>
        <v>1.0105973025048169</v>
      </c>
      <c r="I632" s="273">
        <f t="shared" si="15"/>
        <v>0</v>
      </c>
      <c r="J632" s="273">
        <f t="shared" si="15"/>
        <v>0</v>
      </c>
      <c r="K632" s="265"/>
    </row>
    <row r="633" spans="1:11">
      <c r="A633" s="285" t="s">
        <v>63</v>
      </c>
      <c r="B633" s="273">
        <f t="shared" si="15"/>
        <v>1.0620000000000001</v>
      </c>
      <c r="C633" s="273">
        <f t="shared" si="15"/>
        <v>1.0598802395209581</v>
      </c>
      <c r="D633" s="273">
        <f t="shared" si="15"/>
        <v>1.0556660039761432</v>
      </c>
      <c r="E633" s="273">
        <f t="shared" si="15"/>
        <v>1.0494071146245059</v>
      </c>
      <c r="F633" s="273">
        <f t="shared" si="15"/>
        <v>1.0401567091087172</v>
      </c>
      <c r="G633" s="273">
        <f t="shared" si="15"/>
        <v>0</v>
      </c>
      <c r="H633" s="273">
        <f t="shared" si="15"/>
        <v>1.023121387283237</v>
      </c>
      <c r="I633" s="273">
        <f t="shared" si="15"/>
        <v>1.0123927550047667</v>
      </c>
      <c r="J633" s="273">
        <f t="shared" si="15"/>
        <v>0</v>
      </c>
      <c r="K633" s="265"/>
    </row>
    <row r="634" spans="1:11">
      <c r="A634" s="285" t="s">
        <v>1516</v>
      </c>
      <c r="B634" s="273">
        <f t="shared" si="15"/>
        <v>1.0620000000000001</v>
      </c>
      <c r="C634" s="273">
        <f t="shared" si="15"/>
        <v>1.0598802395209581</v>
      </c>
      <c r="D634" s="273">
        <f t="shared" si="15"/>
        <v>1.0556660039761432</v>
      </c>
      <c r="E634" s="273">
        <f t="shared" si="15"/>
        <v>1.0494071146245059</v>
      </c>
      <c r="F634" s="273">
        <f t="shared" si="15"/>
        <v>1.0401567091087172</v>
      </c>
      <c r="G634" s="273">
        <f t="shared" si="15"/>
        <v>0</v>
      </c>
      <c r="H634" s="273">
        <f t="shared" si="15"/>
        <v>1.023121387283237</v>
      </c>
      <c r="I634" s="273">
        <f t="shared" si="15"/>
        <v>1.0123927550047667</v>
      </c>
      <c r="J634" s="273">
        <f t="shared" si="15"/>
        <v>0</v>
      </c>
      <c r="K634" s="265"/>
    </row>
    <row r="635" spans="1:11">
      <c r="A635" s="285" t="s">
        <v>64</v>
      </c>
      <c r="B635" s="273">
        <f t="shared" si="15"/>
        <v>1.0620000000000001</v>
      </c>
      <c r="C635" s="273">
        <f t="shared" si="15"/>
        <v>1.0598802395209581</v>
      </c>
      <c r="D635" s="273">
        <f t="shared" si="15"/>
        <v>1.0556660039761432</v>
      </c>
      <c r="E635" s="273">
        <f t="shared" si="15"/>
        <v>1.0494071146245059</v>
      </c>
      <c r="F635" s="273">
        <f t="shared" si="15"/>
        <v>1.0401567091087172</v>
      </c>
      <c r="G635" s="273">
        <f t="shared" si="15"/>
        <v>0</v>
      </c>
      <c r="H635" s="273">
        <f t="shared" si="15"/>
        <v>1.023121387283237</v>
      </c>
      <c r="I635" s="273">
        <f t="shared" si="15"/>
        <v>1.0123927550047667</v>
      </c>
      <c r="J635" s="273">
        <f t="shared" si="15"/>
        <v>0</v>
      </c>
      <c r="K635" s="265"/>
    </row>
    <row r="636" spans="1:11">
      <c r="A636" s="285" t="s">
        <v>1517</v>
      </c>
      <c r="B636" s="273">
        <f t="shared" si="15"/>
        <v>1.0620000000000001</v>
      </c>
      <c r="C636" s="273">
        <f t="shared" si="15"/>
        <v>1.0598802395209581</v>
      </c>
      <c r="D636" s="273">
        <f t="shared" si="15"/>
        <v>1.0556660039761432</v>
      </c>
      <c r="E636" s="273">
        <f t="shared" si="15"/>
        <v>1.0494071146245059</v>
      </c>
      <c r="F636" s="273">
        <f t="shared" si="15"/>
        <v>1.0401567091087172</v>
      </c>
      <c r="G636" s="273">
        <f t="shared" si="15"/>
        <v>0</v>
      </c>
      <c r="H636" s="273">
        <f t="shared" si="15"/>
        <v>1.023121387283237</v>
      </c>
      <c r="I636" s="273">
        <f t="shared" si="15"/>
        <v>1.0123927550047667</v>
      </c>
      <c r="J636" s="273">
        <f t="shared" si="15"/>
        <v>0</v>
      </c>
      <c r="K636" s="265"/>
    </row>
    <row r="637" spans="1:11">
      <c r="A637" s="285" t="s">
        <v>65</v>
      </c>
      <c r="B637" s="273">
        <f t="shared" si="15"/>
        <v>1.0489999999999999</v>
      </c>
      <c r="C637" s="273">
        <f t="shared" si="15"/>
        <v>1.0469061876247505</v>
      </c>
      <c r="D637" s="273">
        <f t="shared" si="15"/>
        <v>1.0427435387673956</v>
      </c>
      <c r="E637" s="273">
        <f t="shared" si="15"/>
        <v>1.0365612648221343</v>
      </c>
      <c r="F637" s="273">
        <f t="shared" si="15"/>
        <v>1.0274240940254653</v>
      </c>
      <c r="G637" s="273">
        <f t="shared" si="15"/>
        <v>0</v>
      </c>
      <c r="H637" s="273">
        <f t="shared" si="15"/>
        <v>1.0105973025048169</v>
      </c>
      <c r="I637" s="273">
        <f t="shared" si="15"/>
        <v>0</v>
      </c>
      <c r="J637" s="273">
        <f t="shared" si="15"/>
        <v>0</v>
      </c>
      <c r="K637" s="265"/>
    </row>
    <row r="638" spans="1:11">
      <c r="A638" s="285" t="s">
        <v>1518</v>
      </c>
      <c r="B638" s="273">
        <f t="shared" si="15"/>
        <v>1.0489999999999999</v>
      </c>
      <c r="C638" s="273">
        <f t="shared" si="15"/>
        <v>1.0469061876247505</v>
      </c>
      <c r="D638" s="273">
        <f t="shared" si="15"/>
        <v>1.0427435387673956</v>
      </c>
      <c r="E638" s="273">
        <f t="shared" si="15"/>
        <v>1.0365612648221343</v>
      </c>
      <c r="F638" s="273">
        <f t="shared" si="15"/>
        <v>1.0274240940254653</v>
      </c>
      <c r="G638" s="273">
        <f t="shared" si="15"/>
        <v>0</v>
      </c>
      <c r="H638" s="273">
        <f t="shared" si="15"/>
        <v>1.0105973025048169</v>
      </c>
      <c r="I638" s="273">
        <f t="shared" si="15"/>
        <v>0</v>
      </c>
      <c r="J638" s="273">
        <f t="shared" si="15"/>
        <v>0</v>
      </c>
      <c r="K638" s="265"/>
    </row>
    <row r="639" spans="1:11">
      <c r="A639" s="285" t="s">
        <v>66</v>
      </c>
      <c r="B639" s="273">
        <f t="shared" si="15"/>
        <v>1.0489999999999999</v>
      </c>
      <c r="C639" s="273">
        <f t="shared" si="15"/>
        <v>1.0469061876247505</v>
      </c>
      <c r="D639" s="273">
        <f t="shared" si="15"/>
        <v>1.0427435387673956</v>
      </c>
      <c r="E639" s="273">
        <f t="shared" si="15"/>
        <v>1.0365612648221343</v>
      </c>
      <c r="F639" s="273">
        <f t="shared" si="15"/>
        <v>1.0274240940254653</v>
      </c>
      <c r="G639" s="273">
        <f t="shared" si="15"/>
        <v>0</v>
      </c>
      <c r="H639" s="273">
        <f t="shared" si="15"/>
        <v>1.0105973025048169</v>
      </c>
      <c r="I639" s="273">
        <f t="shared" si="15"/>
        <v>0</v>
      </c>
      <c r="J639" s="273">
        <f t="shared" si="15"/>
        <v>0</v>
      </c>
      <c r="K639" s="265"/>
    </row>
    <row r="640" spans="1:11">
      <c r="A640" s="285" t="s">
        <v>1519</v>
      </c>
      <c r="B640" s="273">
        <f t="shared" si="15"/>
        <v>1.0489999999999999</v>
      </c>
      <c r="C640" s="273">
        <f t="shared" si="15"/>
        <v>1.0469061876247505</v>
      </c>
      <c r="D640" s="273">
        <f t="shared" si="15"/>
        <v>1.0427435387673956</v>
      </c>
      <c r="E640" s="273">
        <f t="shared" si="15"/>
        <v>1.0365612648221343</v>
      </c>
      <c r="F640" s="273">
        <f t="shared" si="15"/>
        <v>1.0274240940254653</v>
      </c>
      <c r="G640" s="273">
        <f t="shared" si="15"/>
        <v>0</v>
      </c>
      <c r="H640" s="273">
        <f t="shared" si="15"/>
        <v>1.0105973025048169</v>
      </c>
      <c r="I640" s="273">
        <f t="shared" si="15"/>
        <v>0</v>
      </c>
      <c r="J640" s="273">
        <f t="shared" si="15"/>
        <v>0</v>
      </c>
      <c r="K640" s="265"/>
    </row>
    <row r="641" spans="1:11">
      <c r="A641" s="285" t="s">
        <v>74</v>
      </c>
      <c r="B641" s="273">
        <f t="shared" si="15"/>
        <v>1.038</v>
      </c>
      <c r="C641" s="273">
        <f t="shared" si="15"/>
        <v>1.0359281437125749</v>
      </c>
      <c r="D641" s="273">
        <f t="shared" si="15"/>
        <v>1.0318091451292246</v>
      </c>
      <c r="E641" s="273">
        <f t="shared" si="15"/>
        <v>1.0256916996047432</v>
      </c>
      <c r="F641" s="273">
        <f t="shared" si="15"/>
        <v>1.0166503428011755</v>
      </c>
      <c r="G641" s="273">
        <f t="shared" si="15"/>
        <v>0</v>
      </c>
      <c r="H641" s="273">
        <f t="shared" si="15"/>
        <v>0</v>
      </c>
      <c r="I641" s="273">
        <f t="shared" si="15"/>
        <v>0</v>
      </c>
      <c r="J641" s="273">
        <f t="shared" si="15"/>
        <v>0</v>
      </c>
      <c r="K641" s="265"/>
    </row>
    <row r="642" spans="1:11">
      <c r="A642" s="285" t="s">
        <v>1520</v>
      </c>
      <c r="B642" s="273">
        <f t="shared" si="15"/>
        <v>1.038</v>
      </c>
      <c r="C642" s="273">
        <f t="shared" si="15"/>
        <v>1.0359281437125749</v>
      </c>
      <c r="D642" s="273">
        <f t="shared" si="15"/>
        <v>1.0318091451292246</v>
      </c>
      <c r="E642" s="273">
        <f t="shared" si="15"/>
        <v>1.0256916996047432</v>
      </c>
      <c r="F642" s="273">
        <f t="shared" si="15"/>
        <v>1.0166503428011755</v>
      </c>
      <c r="G642" s="273">
        <f t="shared" si="15"/>
        <v>0</v>
      </c>
      <c r="H642" s="273">
        <f t="shared" si="15"/>
        <v>0</v>
      </c>
      <c r="I642" s="273">
        <f t="shared" si="15"/>
        <v>0</v>
      </c>
      <c r="J642" s="273">
        <f t="shared" si="15"/>
        <v>0</v>
      </c>
      <c r="K642" s="265"/>
    </row>
    <row r="643" spans="1:11">
      <c r="A643" s="285" t="s">
        <v>75</v>
      </c>
      <c r="B643" s="273">
        <f t="shared" si="15"/>
        <v>1.038</v>
      </c>
      <c r="C643" s="273">
        <f t="shared" si="15"/>
        <v>1.0359281437125749</v>
      </c>
      <c r="D643" s="273">
        <f t="shared" si="15"/>
        <v>1.0318091451292246</v>
      </c>
      <c r="E643" s="273">
        <f t="shared" si="15"/>
        <v>1.0256916996047432</v>
      </c>
      <c r="F643" s="273">
        <f t="shared" si="15"/>
        <v>1.0166503428011755</v>
      </c>
      <c r="G643" s="273">
        <f t="shared" si="15"/>
        <v>0</v>
      </c>
      <c r="H643" s="273">
        <f t="shared" si="15"/>
        <v>0</v>
      </c>
      <c r="I643" s="273">
        <f t="shared" si="15"/>
        <v>0</v>
      </c>
      <c r="J643" s="273">
        <f t="shared" si="15"/>
        <v>0</v>
      </c>
      <c r="K643" s="265"/>
    </row>
    <row r="644" spans="1:11">
      <c r="A644" s="285" t="s">
        <v>1521</v>
      </c>
      <c r="B644" s="273">
        <f t="shared" ref="B644:J644" si="16">IF(B$434="",B602,B602*$I397/B$434)</f>
        <v>1.038</v>
      </c>
      <c r="C644" s="273">
        <f t="shared" si="16"/>
        <v>1.0359281437125749</v>
      </c>
      <c r="D644" s="273">
        <f t="shared" si="16"/>
        <v>1.0318091451292246</v>
      </c>
      <c r="E644" s="273">
        <f t="shared" si="16"/>
        <v>1.0256916996047432</v>
      </c>
      <c r="F644" s="273">
        <f t="shared" si="16"/>
        <v>1.0166503428011755</v>
      </c>
      <c r="G644" s="273">
        <f t="shared" si="16"/>
        <v>0</v>
      </c>
      <c r="H644" s="273">
        <f t="shared" si="16"/>
        <v>0</v>
      </c>
      <c r="I644" s="273">
        <f t="shared" si="16"/>
        <v>0</v>
      </c>
      <c r="J644" s="273">
        <f t="shared" si="16"/>
        <v>0</v>
      </c>
      <c r="K644" s="265"/>
    </row>
    <row r="646" spans="1:11" ht="21" customHeight="1">
      <c r="A646" s="1" t="str">
        <f>"Network model for "&amp;CDCM!B7&amp;" in "&amp;CDCM!C7&amp;" ("&amp;CDCM!D7&amp;")"</f>
        <v>Network model for 0 in 0 (0)</v>
      </c>
    </row>
    <row r="647" spans="1:11">
      <c r="A647" s="264" t="s">
        <v>263</v>
      </c>
    </row>
    <row r="649" spans="1:11" ht="21" customHeight="1">
      <c r="A649" s="1" t="s">
        <v>264</v>
      </c>
    </row>
    <row r="650" spans="1:11">
      <c r="A650" s="264" t="s">
        <v>217</v>
      </c>
    </row>
    <row r="651" spans="1:11">
      <c r="A651" s="269" t="s">
        <v>265</v>
      </c>
    </row>
    <row r="652" spans="1:11">
      <c r="A652" s="269" t="s">
        <v>266</v>
      </c>
    </row>
    <row r="653" spans="1:11">
      <c r="A653" s="269" t="s">
        <v>267</v>
      </c>
    </row>
    <row r="654" spans="1:11">
      <c r="A654" s="264" t="s">
        <v>268</v>
      </c>
    </row>
    <row r="656" spans="1:11">
      <c r="B656" s="284" t="s">
        <v>269</v>
      </c>
    </row>
    <row r="657" spans="1:10">
      <c r="A657" s="285" t="s">
        <v>269</v>
      </c>
      <c r="B657" s="289">
        <f>PMT(B14,C14,-1)*IF(OR(F14&gt;366,F14&lt;365),F14/365.25,1)</f>
        <v>5.211317189347376E-2</v>
      </c>
      <c r="C657" s="265"/>
    </row>
    <row r="659" spans="1:10" ht="21" customHeight="1">
      <c r="A659" s="1" t="s">
        <v>270</v>
      </c>
    </row>
    <row r="660" spans="1:10">
      <c r="A660" s="264" t="s">
        <v>217</v>
      </c>
    </row>
    <row r="661" spans="1:10">
      <c r="A661" s="269" t="s">
        <v>271</v>
      </c>
    </row>
    <row r="662" spans="1:10">
      <c r="A662" s="264" t="s">
        <v>234</v>
      </c>
    </row>
    <row r="663" spans="1:10">
      <c r="A663" s="264" t="s">
        <v>235</v>
      </c>
    </row>
    <row r="665" spans="1:10">
      <c r="B665" s="284" t="s">
        <v>22</v>
      </c>
      <c r="C665" s="284" t="s">
        <v>23</v>
      </c>
      <c r="D665" s="284" t="s">
        <v>24</v>
      </c>
      <c r="E665" s="284" t="s">
        <v>25</v>
      </c>
      <c r="F665" s="284" t="s">
        <v>26</v>
      </c>
      <c r="G665" s="284" t="s">
        <v>27</v>
      </c>
      <c r="H665" s="284" t="s">
        <v>28</v>
      </c>
      <c r="I665" s="284" t="s">
        <v>29</v>
      </c>
    </row>
    <row r="666" spans="1:10" ht="30">
      <c r="A666" s="285" t="s">
        <v>272</v>
      </c>
      <c r="B666" s="267">
        <v>1</v>
      </c>
      <c r="C666" s="274">
        <f>$B110</f>
        <v>1.002</v>
      </c>
      <c r="D666" s="274">
        <f>$C110</f>
        <v>1.006</v>
      </c>
      <c r="E666" s="274">
        <f>$D110</f>
        <v>1.012</v>
      </c>
      <c r="F666" s="274">
        <f>$E110</f>
        <v>1.0209999999999999</v>
      </c>
      <c r="G666" s="274">
        <f>$F110</f>
        <v>1.038</v>
      </c>
      <c r="H666" s="274">
        <f>$G110</f>
        <v>1.0489999999999999</v>
      </c>
      <c r="I666" s="274">
        <f>$H110</f>
        <v>1.0620000000000001</v>
      </c>
      <c r="J666" s="265"/>
    </row>
    <row r="668" spans="1:10" ht="21" customHeight="1">
      <c r="A668" s="1" t="s">
        <v>273</v>
      </c>
    </row>
    <row r="669" spans="1:10">
      <c r="A669" s="264" t="s">
        <v>217</v>
      </c>
    </row>
    <row r="670" spans="1:10">
      <c r="A670" s="269" t="s">
        <v>274</v>
      </c>
    </row>
    <row r="671" spans="1:10">
      <c r="A671" s="269" t="s">
        <v>275</v>
      </c>
    </row>
    <row r="672" spans="1:10">
      <c r="A672" s="270" t="s">
        <v>220</v>
      </c>
      <c r="B672" s="270" t="s">
        <v>276</v>
      </c>
      <c r="C672" s="270" t="s">
        <v>277</v>
      </c>
    </row>
    <row r="673" spans="1:4">
      <c r="A673" s="270" t="s">
        <v>223</v>
      </c>
      <c r="B673" s="270" t="s">
        <v>278</v>
      </c>
      <c r="C673" s="270" t="s">
        <v>279</v>
      </c>
    </row>
    <row r="675" spans="1:4" ht="45">
      <c r="B675" s="284" t="s">
        <v>280</v>
      </c>
      <c r="C675" s="284" t="s">
        <v>281</v>
      </c>
    </row>
    <row r="676" spans="1:4">
      <c r="A676" s="285" t="s">
        <v>22</v>
      </c>
      <c r="B676" s="273">
        <f>$B$666</f>
        <v>1</v>
      </c>
      <c r="C676" s="291"/>
      <c r="D676" s="265"/>
    </row>
    <row r="677" spans="1:4">
      <c r="A677" s="285" t="s">
        <v>23</v>
      </c>
      <c r="B677" s="273">
        <f>$C$666</f>
        <v>1.002</v>
      </c>
      <c r="C677" s="273">
        <f t="shared" ref="C677:C683" si="17">B676</f>
        <v>1</v>
      </c>
      <c r="D677" s="265"/>
    </row>
    <row r="678" spans="1:4">
      <c r="A678" s="285" t="s">
        <v>24</v>
      </c>
      <c r="B678" s="273">
        <f>$D$666</f>
        <v>1.006</v>
      </c>
      <c r="C678" s="273">
        <f t="shared" si="17"/>
        <v>1.002</v>
      </c>
      <c r="D678" s="265"/>
    </row>
    <row r="679" spans="1:4">
      <c r="A679" s="285" t="s">
        <v>25</v>
      </c>
      <c r="B679" s="273">
        <f>$E$666</f>
        <v>1.012</v>
      </c>
      <c r="C679" s="273">
        <f t="shared" si="17"/>
        <v>1.006</v>
      </c>
      <c r="D679" s="265"/>
    </row>
    <row r="680" spans="1:4">
      <c r="A680" s="285" t="s">
        <v>26</v>
      </c>
      <c r="B680" s="273">
        <f>$F$666</f>
        <v>1.0209999999999999</v>
      </c>
      <c r="C680" s="273">
        <f t="shared" si="17"/>
        <v>1.012</v>
      </c>
      <c r="D680" s="265"/>
    </row>
    <row r="681" spans="1:4">
      <c r="A681" s="285" t="s">
        <v>27</v>
      </c>
      <c r="B681" s="273">
        <f>$G$666</f>
        <v>1.038</v>
      </c>
      <c r="C681" s="273">
        <f t="shared" si="17"/>
        <v>1.0209999999999999</v>
      </c>
      <c r="D681" s="265"/>
    </row>
    <row r="682" spans="1:4">
      <c r="A682" s="285" t="s">
        <v>28</v>
      </c>
      <c r="B682" s="273">
        <f>$H$666</f>
        <v>1.0489999999999999</v>
      </c>
      <c r="C682" s="273">
        <f t="shared" si="17"/>
        <v>1.038</v>
      </c>
      <c r="D682" s="265"/>
    </row>
    <row r="683" spans="1:4">
      <c r="A683" s="285" t="s">
        <v>29</v>
      </c>
      <c r="B683" s="273">
        <f>$I$666</f>
        <v>1.0620000000000001</v>
      </c>
      <c r="C683" s="273">
        <f t="shared" si="17"/>
        <v>1.0489999999999999</v>
      </c>
      <c r="D683" s="265"/>
    </row>
    <row r="685" spans="1:4" ht="21" customHeight="1">
      <c r="A685" s="1" t="s">
        <v>282</v>
      </c>
    </row>
    <row r="686" spans="1:4">
      <c r="A686" s="264" t="s">
        <v>217</v>
      </c>
    </row>
    <row r="687" spans="1:4">
      <c r="A687" s="269" t="s">
        <v>283</v>
      </c>
    </row>
    <row r="688" spans="1:4">
      <c r="A688" s="269" t="s">
        <v>284</v>
      </c>
    </row>
    <row r="689" spans="1:5">
      <c r="A689" s="270" t="s">
        <v>220</v>
      </c>
      <c r="B689" s="270" t="s">
        <v>285</v>
      </c>
      <c r="C689" s="270" t="s">
        <v>285</v>
      </c>
      <c r="D689" s="270" t="s">
        <v>285</v>
      </c>
    </row>
    <row r="690" spans="1:5">
      <c r="A690" s="270" t="s">
        <v>223</v>
      </c>
      <c r="B690" s="270" t="s">
        <v>286</v>
      </c>
      <c r="C690" s="270" t="s">
        <v>286</v>
      </c>
      <c r="D690" s="270" t="s">
        <v>287</v>
      </c>
    </row>
    <row r="692" spans="1:5" ht="30">
      <c r="B692" s="284" t="s">
        <v>288</v>
      </c>
      <c r="C692" s="284" t="s">
        <v>289</v>
      </c>
      <c r="D692" s="284" t="s">
        <v>290</v>
      </c>
    </row>
    <row r="693" spans="1:5">
      <c r="A693" s="285" t="s">
        <v>22</v>
      </c>
      <c r="B693" s="291"/>
      <c r="C693" s="289">
        <f>1/(1+B24)</f>
        <v>0.97847358121330719</v>
      </c>
      <c r="D693" s="289">
        <f t="shared" ref="D693:D699" si="18">1/C693-1</f>
        <v>2.200000000000002E-2</v>
      </c>
      <c r="E693" s="265"/>
    </row>
    <row r="694" spans="1:5">
      <c r="A694" s="285" t="s">
        <v>23</v>
      </c>
      <c r="B694" s="289">
        <f>1/(1+B25)</f>
        <v>0.96993210475266745</v>
      </c>
      <c r="C694" s="289">
        <f t="shared" ref="C694:C700" si="19">C693/(1+B25)</f>
        <v>0.94905294007110308</v>
      </c>
      <c r="D694" s="289">
        <f t="shared" si="18"/>
        <v>5.3682000000000007E-2</v>
      </c>
      <c r="E694" s="265"/>
    </row>
    <row r="695" spans="1:5">
      <c r="A695" s="285" t="s">
        <v>24</v>
      </c>
      <c r="B695" s="289">
        <f t="shared" ref="B695:B700" si="20">B694/(1+B26)</f>
        <v>0.96993210475266745</v>
      </c>
      <c r="C695" s="289">
        <f t="shared" si="19"/>
        <v>0.94905294007110308</v>
      </c>
      <c r="D695" s="289">
        <f t="shared" si="18"/>
        <v>5.3682000000000007E-2</v>
      </c>
      <c r="E695" s="265"/>
    </row>
    <row r="696" spans="1:5">
      <c r="A696" s="285" t="s">
        <v>25</v>
      </c>
      <c r="B696" s="289">
        <f t="shared" si="20"/>
        <v>0.90226242302573723</v>
      </c>
      <c r="C696" s="289">
        <f t="shared" si="19"/>
        <v>0.88283994425218892</v>
      </c>
      <c r="D696" s="289">
        <f t="shared" si="18"/>
        <v>0.13270815000000002</v>
      </c>
      <c r="E696" s="265"/>
    </row>
    <row r="697" spans="1:5">
      <c r="A697" s="285" t="s">
        <v>26</v>
      </c>
      <c r="B697" s="289">
        <f t="shared" si="20"/>
        <v>0.90226242302573723</v>
      </c>
      <c r="C697" s="289">
        <f t="shared" si="19"/>
        <v>0.88283994425218892</v>
      </c>
      <c r="D697" s="289">
        <f t="shared" si="18"/>
        <v>0.13270815000000002</v>
      </c>
      <c r="E697" s="265"/>
    </row>
    <row r="698" spans="1:5">
      <c r="A698" s="285" t="s">
        <v>27</v>
      </c>
      <c r="B698" s="289">
        <f t="shared" si="20"/>
        <v>0.65858571023776435</v>
      </c>
      <c r="C698" s="289">
        <f t="shared" si="19"/>
        <v>0.64440871843225467</v>
      </c>
      <c r="D698" s="289">
        <f t="shared" si="18"/>
        <v>0.55181016550000006</v>
      </c>
      <c r="E698" s="265"/>
    </row>
    <row r="699" spans="1:5">
      <c r="A699" s="285" t="s">
        <v>28</v>
      </c>
      <c r="B699" s="289">
        <f t="shared" si="20"/>
        <v>0.65858571023776435</v>
      </c>
      <c r="C699" s="289">
        <f t="shared" si="19"/>
        <v>0.64440871843225467</v>
      </c>
      <c r="D699" s="289">
        <f t="shared" si="18"/>
        <v>0.55181016550000006</v>
      </c>
      <c r="E699" s="265"/>
    </row>
    <row r="700" spans="1:5">
      <c r="A700" s="285" t="s">
        <v>29</v>
      </c>
      <c r="B700" s="289">
        <f t="shared" si="20"/>
        <v>0.65858571023776435</v>
      </c>
      <c r="C700" s="289">
        <f t="shared" si="19"/>
        <v>0.64440871843225467</v>
      </c>
      <c r="D700" s="291"/>
      <c r="E700" s="265"/>
    </row>
    <row r="702" spans="1:5" ht="21" customHeight="1">
      <c r="A702" s="1" t="s">
        <v>291</v>
      </c>
    </row>
    <row r="703" spans="1:5">
      <c r="A703" s="264" t="s">
        <v>217</v>
      </c>
    </row>
    <row r="704" spans="1:5">
      <c r="A704" s="269" t="s">
        <v>292</v>
      </c>
    </row>
    <row r="705" spans="1:3">
      <c r="A705" s="269" t="s">
        <v>293</v>
      </c>
    </row>
    <row r="706" spans="1:3">
      <c r="A706" s="264" t="s">
        <v>294</v>
      </c>
    </row>
    <row r="708" spans="1:3" ht="45">
      <c r="B708" s="284" t="s">
        <v>295</v>
      </c>
    </row>
    <row r="709" spans="1:3">
      <c r="A709" s="285" t="s">
        <v>23</v>
      </c>
      <c r="B709" s="273">
        <f>B$41/B$694</f>
        <v>515.49999999999989</v>
      </c>
      <c r="C709" s="265"/>
    </row>
    <row r="710" spans="1:3">
      <c r="A710" s="285" t="s">
        <v>24</v>
      </c>
      <c r="B710" s="273">
        <f>B$41/B$695</f>
        <v>515.49999999999989</v>
      </c>
      <c r="C710" s="265"/>
    </row>
    <row r="711" spans="1:3">
      <c r="A711" s="285" t="s">
        <v>25</v>
      </c>
      <c r="B711" s="273">
        <f>B$41/B$696</f>
        <v>554.16249999999991</v>
      </c>
      <c r="C711" s="265"/>
    </row>
    <row r="712" spans="1:3">
      <c r="A712" s="285" t="s">
        <v>26</v>
      </c>
      <c r="B712" s="273">
        <f>B$41/B$697</f>
        <v>554.16249999999991</v>
      </c>
      <c r="C712" s="265"/>
    </row>
    <row r="713" spans="1:3">
      <c r="A713" s="285" t="s">
        <v>27</v>
      </c>
      <c r="B713" s="273">
        <f>B$41/B$698</f>
        <v>759.2026249999999</v>
      </c>
      <c r="C713" s="265"/>
    </row>
    <row r="714" spans="1:3">
      <c r="A714" s="285" t="s">
        <v>28</v>
      </c>
      <c r="B714" s="273">
        <f>B$41/B$699</f>
        <v>759.2026249999999</v>
      </c>
      <c r="C714" s="265"/>
    </row>
    <row r="715" spans="1:3">
      <c r="A715" s="285" t="s">
        <v>29</v>
      </c>
      <c r="B715" s="273">
        <f>B$41/B$700</f>
        <v>759.2026249999999</v>
      </c>
      <c r="C715" s="265"/>
    </row>
    <row r="717" spans="1:3" ht="21" customHeight="1">
      <c r="A717" s="1" t="s">
        <v>296</v>
      </c>
    </row>
    <row r="718" spans="1:3">
      <c r="A718" s="264" t="s">
        <v>217</v>
      </c>
    </row>
    <row r="719" spans="1:3">
      <c r="A719" s="269" t="s">
        <v>297</v>
      </c>
    </row>
    <row r="720" spans="1:3">
      <c r="A720" s="269" t="s">
        <v>298</v>
      </c>
    </row>
    <row r="721" spans="1:3">
      <c r="A721" s="269" t="s">
        <v>299</v>
      </c>
    </row>
    <row r="722" spans="1:3">
      <c r="A722" s="264" t="s">
        <v>300</v>
      </c>
    </row>
    <row r="724" spans="1:3" ht="60">
      <c r="B724" s="284" t="s">
        <v>301</v>
      </c>
    </row>
    <row r="725" spans="1:3">
      <c r="A725" s="285" t="s">
        <v>23</v>
      </c>
      <c r="B725" s="273">
        <f>B709*C$694/B$677</f>
        <v>488.26027006652049</v>
      </c>
      <c r="C725" s="265"/>
    </row>
    <row r="726" spans="1:3">
      <c r="A726" s="285" t="s">
        <v>24</v>
      </c>
      <c r="B726" s="273">
        <f>B710*C$695/B$678</f>
        <v>486.31887734259794</v>
      </c>
      <c r="C726" s="265"/>
    </row>
    <row r="727" spans="1:3">
      <c r="A727" s="285" t="s">
        <v>25</v>
      </c>
      <c r="B727" s="273">
        <f>B711*C$696/B$679</f>
        <v>483.43556384056677</v>
      </c>
      <c r="C727" s="265"/>
    </row>
    <row r="728" spans="1:3">
      <c r="A728" s="285" t="s">
        <v>26</v>
      </c>
      <c r="B728" s="273">
        <f>B712*C$697/B$680</f>
        <v>479.17413379691834</v>
      </c>
      <c r="C728" s="265"/>
    </row>
    <row r="729" spans="1:3">
      <c r="A729" s="285" t="s">
        <v>27</v>
      </c>
      <c r="B729" s="273">
        <f>B713*C$698/B$681</f>
        <v>471.32638786768166</v>
      </c>
      <c r="C729" s="265"/>
    </row>
    <row r="730" spans="1:3">
      <c r="A730" s="285" t="s">
        <v>28</v>
      </c>
      <c r="B730" s="273">
        <f>B714*C$699/B$682</f>
        <v>466.3839757928061</v>
      </c>
      <c r="C730" s="265"/>
    </row>
    <row r="731" spans="1:3">
      <c r="A731" s="285" t="s">
        <v>29</v>
      </c>
      <c r="B731" s="273">
        <f>B715*C$700/B$683</f>
        <v>460.67494407406173</v>
      </c>
      <c r="C731" s="265"/>
    </row>
    <row r="733" spans="1:3" ht="21" customHeight="1">
      <c r="A733" s="1" t="s">
        <v>302</v>
      </c>
    </row>
    <row r="734" spans="1:3">
      <c r="A734" s="264" t="s">
        <v>217</v>
      </c>
    </row>
    <row r="735" spans="1:3">
      <c r="A735" s="269" t="s">
        <v>239</v>
      </c>
    </row>
    <row r="736" spans="1:3">
      <c r="A736" s="269" t="s">
        <v>244</v>
      </c>
    </row>
    <row r="737" spans="1:10">
      <c r="A737" s="269" t="s">
        <v>245</v>
      </c>
    </row>
    <row r="738" spans="1:10">
      <c r="A738" s="269" t="s">
        <v>246</v>
      </c>
    </row>
    <row r="739" spans="1:10">
      <c r="A739" s="264" t="s">
        <v>247</v>
      </c>
    </row>
    <row r="740" spans="1:10">
      <c r="A740" s="264" t="s">
        <v>303</v>
      </c>
    </row>
    <row r="742" spans="1:10">
      <c r="B742" s="284" t="s">
        <v>23</v>
      </c>
      <c r="C742" s="284" t="s">
        <v>24</v>
      </c>
      <c r="D742" s="284" t="s">
        <v>25</v>
      </c>
      <c r="E742" s="284" t="s">
        <v>26</v>
      </c>
      <c r="F742" s="284" t="s">
        <v>31</v>
      </c>
      <c r="G742" s="284" t="s">
        <v>27</v>
      </c>
      <c r="H742" s="284" t="s">
        <v>28</v>
      </c>
      <c r="I742" s="284" t="s">
        <v>29</v>
      </c>
    </row>
    <row r="743" spans="1:10">
      <c r="A743" s="285" t="s">
        <v>23</v>
      </c>
      <c r="B743" s="297">
        <v>1</v>
      </c>
      <c r="C743" s="297">
        <v>0</v>
      </c>
      <c r="D743" s="297">
        <v>0</v>
      </c>
      <c r="E743" s="297">
        <v>0</v>
      </c>
      <c r="F743" s="297">
        <v>0</v>
      </c>
      <c r="G743" s="297">
        <v>0</v>
      </c>
      <c r="H743" s="297">
        <v>0</v>
      </c>
      <c r="I743" s="297">
        <v>0</v>
      </c>
      <c r="J743" s="265"/>
    </row>
    <row r="744" spans="1:10">
      <c r="A744" s="285" t="s">
        <v>24</v>
      </c>
      <c r="B744" s="297">
        <v>0</v>
      </c>
      <c r="C744" s="298">
        <f>$B$482</f>
        <v>1</v>
      </c>
      <c r="D744" s="297">
        <v>0</v>
      </c>
      <c r="E744" s="297">
        <v>0</v>
      </c>
      <c r="F744" s="297">
        <v>0</v>
      </c>
      <c r="G744" s="297">
        <v>0</v>
      </c>
      <c r="H744" s="297">
        <v>0</v>
      </c>
      <c r="I744" s="297">
        <v>0</v>
      </c>
      <c r="J744" s="265"/>
    </row>
    <row r="745" spans="1:10">
      <c r="A745" s="285" t="s">
        <v>25</v>
      </c>
      <c r="B745" s="297">
        <v>0</v>
      </c>
      <c r="C745" s="297">
        <v>0</v>
      </c>
      <c r="D745" s="298">
        <f>$B$490</f>
        <v>1</v>
      </c>
      <c r="E745" s="297">
        <v>0</v>
      </c>
      <c r="F745" s="297">
        <v>0</v>
      </c>
      <c r="G745" s="297">
        <v>0</v>
      </c>
      <c r="H745" s="297">
        <v>0</v>
      </c>
      <c r="I745" s="297">
        <v>0</v>
      </c>
      <c r="J745" s="265"/>
    </row>
    <row r="746" spans="1:10">
      <c r="A746" s="285" t="s">
        <v>26</v>
      </c>
      <c r="B746" s="297">
        <v>0</v>
      </c>
      <c r="C746" s="297">
        <v>0</v>
      </c>
      <c r="D746" s="297">
        <v>0</v>
      </c>
      <c r="E746" s="298">
        <f>$B$498</f>
        <v>1</v>
      </c>
      <c r="F746" s="298">
        <f>$B$36</f>
        <v>0</v>
      </c>
      <c r="G746" s="297">
        <v>0</v>
      </c>
      <c r="H746" s="297">
        <v>0</v>
      </c>
      <c r="I746" s="297">
        <v>0</v>
      </c>
      <c r="J746" s="265"/>
    </row>
    <row r="747" spans="1:10">
      <c r="A747" s="285" t="s">
        <v>27</v>
      </c>
      <c r="B747" s="297">
        <v>0</v>
      </c>
      <c r="C747" s="297">
        <v>0</v>
      </c>
      <c r="D747" s="297">
        <v>0</v>
      </c>
      <c r="E747" s="297">
        <v>0</v>
      </c>
      <c r="F747" s="297">
        <v>0</v>
      </c>
      <c r="G747" s="297">
        <v>1</v>
      </c>
      <c r="H747" s="297">
        <v>0</v>
      </c>
      <c r="I747" s="297">
        <v>0</v>
      </c>
      <c r="J747" s="265"/>
    </row>
    <row r="748" spans="1:10">
      <c r="A748" s="285" t="s">
        <v>28</v>
      </c>
      <c r="B748" s="297">
        <v>0</v>
      </c>
      <c r="C748" s="297">
        <v>0</v>
      </c>
      <c r="D748" s="297">
        <v>0</v>
      </c>
      <c r="E748" s="297">
        <v>0</v>
      </c>
      <c r="F748" s="297">
        <v>0</v>
      </c>
      <c r="G748" s="297">
        <v>0</v>
      </c>
      <c r="H748" s="297">
        <v>1</v>
      </c>
      <c r="I748" s="297">
        <v>0</v>
      </c>
      <c r="J748" s="265"/>
    </row>
    <row r="749" spans="1:10">
      <c r="A749" s="285" t="s">
        <v>29</v>
      </c>
      <c r="B749" s="297">
        <v>0</v>
      </c>
      <c r="C749" s="297">
        <v>0</v>
      </c>
      <c r="D749" s="297">
        <v>0</v>
      </c>
      <c r="E749" s="297">
        <v>0</v>
      </c>
      <c r="F749" s="297">
        <v>0</v>
      </c>
      <c r="G749" s="297">
        <v>0</v>
      </c>
      <c r="H749" s="297">
        <v>0</v>
      </c>
      <c r="I749" s="297">
        <v>1</v>
      </c>
      <c r="J749" s="265"/>
    </row>
    <row r="751" spans="1:10" ht="21" customHeight="1">
      <c r="A751" s="1" t="s">
        <v>304</v>
      </c>
    </row>
    <row r="752" spans="1:10">
      <c r="A752" s="264" t="s">
        <v>217</v>
      </c>
    </row>
    <row r="753" spans="1:3">
      <c r="A753" s="269" t="s">
        <v>305</v>
      </c>
    </row>
    <row r="754" spans="1:3">
      <c r="A754" s="269" t="s">
        <v>306</v>
      </c>
    </row>
    <row r="755" spans="1:3">
      <c r="A755" s="264" t="s">
        <v>230</v>
      </c>
    </row>
    <row r="757" spans="1:3" ht="45">
      <c r="B757" s="284" t="s">
        <v>307</v>
      </c>
    </row>
    <row r="758" spans="1:3">
      <c r="A758" s="285" t="s">
        <v>23</v>
      </c>
      <c r="B758" s="273">
        <f>SUMPRODUCT(B$725:B$731,$B$743:$B$749)</f>
        <v>488.26027006652049</v>
      </c>
      <c r="C758" s="265"/>
    </row>
    <row r="759" spans="1:3">
      <c r="A759" s="285" t="s">
        <v>24</v>
      </c>
      <c r="B759" s="273">
        <f>SUMPRODUCT(B$725:B$731,$C$743:$C$749)</f>
        <v>486.31887734259794</v>
      </c>
      <c r="C759" s="265"/>
    </row>
    <row r="760" spans="1:3">
      <c r="A760" s="285" t="s">
        <v>25</v>
      </c>
      <c r="B760" s="273">
        <f>SUMPRODUCT(B$725:B$731,$D$743:$D$749)</f>
        <v>483.43556384056677</v>
      </c>
      <c r="C760" s="265"/>
    </row>
    <row r="761" spans="1:3">
      <c r="A761" s="285" t="s">
        <v>26</v>
      </c>
      <c r="B761" s="273">
        <f>SUMPRODUCT(B$725:B$731,$E$743:$E$749)</f>
        <v>479.17413379691834</v>
      </c>
      <c r="C761" s="265"/>
    </row>
    <row r="762" spans="1:3">
      <c r="A762" s="285" t="s">
        <v>31</v>
      </c>
      <c r="B762" s="273">
        <f>SUMPRODUCT(B$725:B$731,$F$743:$F$749)</f>
        <v>0</v>
      </c>
      <c r="C762" s="265"/>
    </row>
    <row r="763" spans="1:3">
      <c r="A763" s="285" t="s">
        <v>27</v>
      </c>
      <c r="B763" s="273">
        <f>SUMPRODUCT(B$725:B$731,$G$743:$G$749)</f>
        <v>471.32638786768166</v>
      </c>
      <c r="C763" s="265"/>
    </row>
    <row r="764" spans="1:3">
      <c r="A764" s="285" t="s">
        <v>28</v>
      </c>
      <c r="B764" s="273">
        <f>SUMPRODUCT(B$725:B$731,$H$743:$H$749)</f>
        <v>466.3839757928061</v>
      </c>
      <c r="C764" s="265"/>
    </row>
    <row r="765" spans="1:3">
      <c r="A765" s="285" t="s">
        <v>29</v>
      </c>
      <c r="B765" s="273">
        <f>SUMPRODUCT(B$725:B$731,$I$743:$I$749)</f>
        <v>460.67494407406173</v>
      </c>
      <c r="C765" s="265"/>
    </row>
    <row r="767" spans="1:3" ht="21" customHeight="1">
      <c r="A767" s="1" t="s">
        <v>308</v>
      </c>
    </row>
    <row r="768" spans="1:3">
      <c r="A768" s="264" t="s">
        <v>217</v>
      </c>
    </row>
    <row r="769" spans="1:3">
      <c r="A769" s="269" t="s">
        <v>309</v>
      </c>
    </row>
    <row r="770" spans="1:3">
      <c r="A770" s="269" t="s">
        <v>310</v>
      </c>
    </row>
    <row r="771" spans="1:3">
      <c r="A771" s="269" t="s">
        <v>311</v>
      </c>
    </row>
    <row r="772" spans="1:3">
      <c r="A772" s="264" t="s">
        <v>312</v>
      </c>
    </row>
    <row r="774" spans="1:3">
      <c r="B774" s="284" t="s">
        <v>313</v>
      </c>
    </row>
    <row r="775" spans="1:3">
      <c r="A775" s="285" t="s">
        <v>314</v>
      </c>
      <c r="B775" s="273">
        <f t="shared" ref="B775:B782" si="21">IF(B758,0.001*B46*B$657/B758,0)</f>
        <v>14.242777493615238</v>
      </c>
      <c r="C775" s="265"/>
    </row>
    <row r="776" spans="1:3">
      <c r="A776" s="285" t="s">
        <v>315</v>
      </c>
      <c r="B776" s="273">
        <f t="shared" si="21"/>
        <v>2.0253895503696087</v>
      </c>
      <c r="C776" s="265"/>
    </row>
    <row r="777" spans="1:3">
      <c r="A777" s="285" t="s">
        <v>316</v>
      </c>
      <c r="B777" s="273">
        <f t="shared" si="21"/>
        <v>5.1435853573769137</v>
      </c>
      <c r="C777" s="265"/>
    </row>
    <row r="778" spans="1:3">
      <c r="A778" s="285" t="s">
        <v>317</v>
      </c>
      <c r="B778" s="273">
        <f t="shared" si="21"/>
        <v>5.2155150975173257</v>
      </c>
      <c r="C778" s="265"/>
    </row>
    <row r="779" spans="1:3">
      <c r="A779" s="285" t="s">
        <v>318</v>
      </c>
      <c r="B779" s="273">
        <f t="shared" si="21"/>
        <v>0</v>
      </c>
      <c r="C779" s="265"/>
    </row>
    <row r="780" spans="1:3">
      <c r="A780" s="285" t="s">
        <v>319</v>
      </c>
      <c r="B780" s="273">
        <f t="shared" si="21"/>
        <v>18.883846636422408</v>
      </c>
      <c r="C780" s="265"/>
    </row>
    <row r="781" spans="1:3">
      <c r="A781" s="285" t="s">
        <v>320</v>
      </c>
      <c r="B781" s="273">
        <f t="shared" si="21"/>
        <v>8.1324946073658531</v>
      </c>
      <c r="C781" s="265"/>
    </row>
    <row r="782" spans="1:3">
      <c r="A782" s="285" t="s">
        <v>321</v>
      </c>
      <c r="B782" s="273">
        <f t="shared" si="21"/>
        <v>17.682908527399821</v>
      </c>
      <c r="C782" s="265"/>
    </row>
    <row r="784" spans="1:3" ht="21" customHeight="1">
      <c r="A784" s="1" t="str">
        <f>"Service models for "&amp;CDCM!B7&amp;" in "&amp;CDCM!C7&amp;" ("&amp;CDCM!D7&amp;")"</f>
        <v>Service models for 0 in 0 (0)</v>
      </c>
    </row>
    <row r="785" spans="1:3">
      <c r="A785" s="264" t="s">
        <v>322</v>
      </c>
    </row>
    <row r="787" spans="1:3" ht="21" customHeight="1">
      <c r="A787" s="1" t="s">
        <v>323</v>
      </c>
    </row>
    <row r="788" spans="1:3">
      <c r="A788" s="264" t="s">
        <v>217</v>
      </c>
    </row>
    <row r="789" spans="1:3">
      <c r="A789" s="269" t="s">
        <v>324</v>
      </c>
    </row>
    <row r="790" spans="1:3">
      <c r="A790" s="269" t="s">
        <v>325</v>
      </c>
    </row>
    <row r="791" spans="1:3">
      <c r="A791" s="264" t="s">
        <v>230</v>
      </c>
    </row>
    <row r="793" spans="1:3" ht="30">
      <c r="B793" s="284" t="s">
        <v>326</v>
      </c>
    </row>
    <row r="794" spans="1:3">
      <c r="A794" s="285" t="s">
        <v>54</v>
      </c>
      <c r="B794" s="275">
        <f t="shared" ref="B794:B813" si="22">SUMPRODUCT($B68:$I68,$B$58:$I$58)</f>
        <v>305.7148052912936</v>
      </c>
      <c r="C794" s="265"/>
    </row>
    <row r="795" spans="1:3">
      <c r="A795" s="285" t="s">
        <v>55</v>
      </c>
      <c r="B795" s="275">
        <f t="shared" si="22"/>
        <v>305.7148052912936</v>
      </c>
      <c r="C795" s="265"/>
    </row>
    <row r="796" spans="1:3">
      <c r="A796" s="285" t="s">
        <v>56</v>
      </c>
      <c r="B796" s="275">
        <f t="shared" si="22"/>
        <v>687.79718183986074</v>
      </c>
      <c r="C796" s="265"/>
    </row>
    <row r="797" spans="1:3">
      <c r="A797" s="285" t="s">
        <v>57</v>
      </c>
      <c r="B797" s="275">
        <f t="shared" si="22"/>
        <v>687.79718183986074</v>
      </c>
      <c r="C797" s="265"/>
    </row>
    <row r="798" spans="1:3">
      <c r="A798" s="285" t="s">
        <v>58</v>
      </c>
      <c r="B798" s="275">
        <f t="shared" si="22"/>
        <v>837.38816869985578</v>
      </c>
      <c r="C798" s="265"/>
    </row>
    <row r="799" spans="1:3">
      <c r="A799" s="285" t="s">
        <v>59</v>
      </c>
      <c r="B799" s="275">
        <f t="shared" si="22"/>
        <v>621.02378639698088</v>
      </c>
      <c r="C799" s="265"/>
    </row>
    <row r="800" spans="1:3">
      <c r="A800" s="285" t="s">
        <v>1178</v>
      </c>
      <c r="B800" s="275">
        <f t="shared" si="22"/>
        <v>305.7148052912936</v>
      </c>
      <c r="C800" s="265"/>
    </row>
    <row r="801" spans="1:3">
      <c r="A801" s="285" t="s">
        <v>1177</v>
      </c>
      <c r="B801" s="275">
        <f t="shared" si="22"/>
        <v>687.79718183986074</v>
      </c>
      <c r="C801" s="265"/>
    </row>
    <row r="802" spans="1:3">
      <c r="A802" s="285" t="s">
        <v>60</v>
      </c>
      <c r="B802" s="275">
        <f t="shared" si="22"/>
        <v>1411.7252708981218</v>
      </c>
      <c r="C802" s="265"/>
    </row>
    <row r="803" spans="1:3">
      <c r="A803" s="285" t="s">
        <v>61</v>
      </c>
      <c r="B803" s="275">
        <f t="shared" si="22"/>
        <v>1087.3292823736058</v>
      </c>
      <c r="C803" s="265"/>
    </row>
    <row r="804" spans="1:3">
      <c r="A804" s="285" t="s">
        <v>1176</v>
      </c>
      <c r="B804" s="275">
        <f t="shared" si="22"/>
        <v>0</v>
      </c>
      <c r="C804" s="265"/>
    </row>
    <row r="805" spans="1:3">
      <c r="A805" s="285" t="s">
        <v>62</v>
      </c>
      <c r="B805" s="275">
        <f t="shared" si="22"/>
        <v>0</v>
      </c>
      <c r="C805" s="265"/>
    </row>
    <row r="806" spans="1:3">
      <c r="A806" s="285" t="s">
        <v>63</v>
      </c>
      <c r="B806" s="275">
        <f t="shared" si="22"/>
        <v>0</v>
      </c>
      <c r="C806" s="265"/>
    </row>
    <row r="807" spans="1:3">
      <c r="A807" s="285" t="s">
        <v>1516</v>
      </c>
      <c r="B807" s="275">
        <f t="shared" si="22"/>
        <v>0</v>
      </c>
      <c r="C807" s="265"/>
    </row>
    <row r="808" spans="1:3">
      <c r="A808" s="285" t="s">
        <v>64</v>
      </c>
      <c r="B808" s="275">
        <f t="shared" si="22"/>
        <v>0</v>
      </c>
      <c r="C808" s="265"/>
    </row>
    <row r="809" spans="1:3">
      <c r="A809" s="285" t="s">
        <v>1517</v>
      </c>
      <c r="B809" s="275">
        <f t="shared" si="22"/>
        <v>0</v>
      </c>
      <c r="C809" s="265"/>
    </row>
    <row r="810" spans="1:3">
      <c r="A810" s="285" t="s">
        <v>65</v>
      </c>
      <c r="B810" s="275">
        <f t="shared" si="22"/>
        <v>0</v>
      </c>
      <c r="C810" s="265"/>
    </row>
    <row r="811" spans="1:3">
      <c r="A811" s="285" t="s">
        <v>1518</v>
      </c>
      <c r="B811" s="275">
        <f t="shared" si="22"/>
        <v>0</v>
      </c>
      <c r="C811" s="265"/>
    </row>
    <row r="812" spans="1:3">
      <c r="A812" s="285" t="s">
        <v>66</v>
      </c>
      <c r="B812" s="275">
        <f t="shared" si="22"/>
        <v>0</v>
      </c>
      <c r="C812" s="265"/>
    </row>
    <row r="813" spans="1:3">
      <c r="A813" s="285" t="s">
        <v>1519</v>
      </c>
      <c r="B813" s="275">
        <f t="shared" si="22"/>
        <v>0</v>
      </c>
      <c r="C813" s="265"/>
    </row>
    <row r="815" spans="1:3" ht="21" customHeight="1">
      <c r="A815" s="1" t="s">
        <v>1258</v>
      </c>
    </row>
    <row r="816" spans="1:3">
      <c r="A816" s="264" t="s">
        <v>217</v>
      </c>
    </row>
    <row r="817" spans="1:3">
      <c r="A817" s="269" t="s">
        <v>327</v>
      </c>
    </row>
    <row r="818" spans="1:3">
      <c r="A818" s="269" t="s">
        <v>325</v>
      </c>
    </row>
    <row r="819" spans="1:3">
      <c r="A819" s="264" t="s">
        <v>230</v>
      </c>
    </row>
    <row r="821" spans="1:3" ht="30">
      <c r="B821" s="284" t="s">
        <v>326</v>
      </c>
    </row>
    <row r="822" spans="1:3">
      <c r="A822" s="285" t="s">
        <v>1259</v>
      </c>
      <c r="B822" s="275">
        <f>SUMPRODUCT($B94:$I94,$B$58:$I$58)</f>
        <v>277.51562450227976</v>
      </c>
      <c r="C822" s="265"/>
    </row>
    <row r="824" spans="1:3" ht="21" customHeight="1">
      <c r="A824" s="1" t="s">
        <v>1260</v>
      </c>
    </row>
    <row r="825" spans="1:3">
      <c r="A825" s="264" t="s">
        <v>217</v>
      </c>
    </row>
    <row r="826" spans="1:3">
      <c r="A826" s="269" t="s">
        <v>328</v>
      </c>
    </row>
    <row r="827" spans="1:3">
      <c r="A827" s="269" t="s">
        <v>1261</v>
      </c>
    </row>
    <row r="828" spans="1:3">
      <c r="A828" s="269" t="s">
        <v>311</v>
      </c>
    </row>
    <row r="829" spans="1:3">
      <c r="A829" s="264" t="s">
        <v>329</v>
      </c>
    </row>
    <row r="831" spans="1:3" ht="30">
      <c r="B831" s="284" t="s">
        <v>326</v>
      </c>
    </row>
    <row r="832" spans="1:3">
      <c r="A832" s="285" t="s">
        <v>1262</v>
      </c>
      <c r="B832" s="273">
        <f>0.1*$D14*B822*$B657</f>
        <v>0</v>
      </c>
      <c r="C832" s="265"/>
    </row>
    <row r="834" spans="1:3" ht="21" customHeight="1">
      <c r="A834" s="1" t="s">
        <v>330</v>
      </c>
    </row>
    <row r="835" spans="1:3">
      <c r="A835" s="264" t="s">
        <v>217</v>
      </c>
    </row>
    <row r="836" spans="1:3">
      <c r="A836" s="269" t="s">
        <v>331</v>
      </c>
    </row>
    <row r="837" spans="1:3">
      <c r="A837" s="269" t="s">
        <v>332</v>
      </c>
    </row>
    <row r="838" spans="1:3">
      <c r="A838" s="264" t="s">
        <v>230</v>
      </c>
    </row>
    <row r="840" spans="1:3" ht="30">
      <c r="B840" s="284" t="s">
        <v>333</v>
      </c>
    </row>
    <row r="841" spans="1:3">
      <c r="A841" s="285" t="s">
        <v>72</v>
      </c>
      <c r="B841" s="275">
        <f t="shared" ref="B841:B846" si="23">SUMPRODUCT($B99:$F99,$B$63:$F$63)</f>
        <v>10787.568180979291</v>
      </c>
      <c r="C841" s="265"/>
    </row>
    <row r="842" spans="1:3">
      <c r="A842" s="285" t="s">
        <v>73</v>
      </c>
      <c r="B842" s="275">
        <f t="shared" si="23"/>
        <v>10787.568180979291</v>
      </c>
      <c r="C842" s="265"/>
    </row>
    <row r="843" spans="1:3">
      <c r="A843" s="285" t="s">
        <v>74</v>
      </c>
      <c r="B843" s="275">
        <f t="shared" si="23"/>
        <v>5201.0510362394189</v>
      </c>
      <c r="C843" s="265"/>
    </row>
    <row r="844" spans="1:3">
      <c r="A844" s="285" t="s">
        <v>1520</v>
      </c>
      <c r="B844" s="275">
        <f t="shared" si="23"/>
        <v>5201.0510362394189</v>
      </c>
      <c r="C844" s="265"/>
    </row>
    <row r="845" spans="1:3">
      <c r="A845" s="285" t="s">
        <v>75</v>
      </c>
      <c r="B845" s="275">
        <f t="shared" si="23"/>
        <v>5201.0510362394189</v>
      </c>
      <c r="C845" s="265"/>
    </row>
    <row r="846" spans="1:3">
      <c r="A846" s="285" t="s">
        <v>1521</v>
      </c>
      <c r="B846" s="275">
        <f t="shared" si="23"/>
        <v>5201.0510362394189</v>
      </c>
      <c r="C846" s="265"/>
    </row>
    <row r="848" spans="1:3" ht="21" customHeight="1">
      <c r="A848" s="1" t="s">
        <v>334</v>
      </c>
    </row>
    <row r="849" spans="1:4">
      <c r="A849" s="264" t="s">
        <v>217</v>
      </c>
    </row>
    <row r="850" spans="1:4">
      <c r="A850" s="269" t="s">
        <v>335</v>
      </c>
    </row>
    <row r="851" spans="1:4">
      <c r="A851" s="269" t="s">
        <v>336</v>
      </c>
    </row>
    <row r="852" spans="1:4">
      <c r="A852" s="264" t="s">
        <v>235</v>
      </c>
    </row>
    <row r="854" spans="1:4" ht="30">
      <c r="B854" s="284" t="s">
        <v>326</v>
      </c>
      <c r="C854" s="284" t="s">
        <v>333</v>
      </c>
    </row>
    <row r="855" spans="1:4">
      <c r="A855" s="285" t="s">
        <v>54</v>
      </c>
      <c r="B855" s="274">
        <f>$B$794</f>
        <v>305.7148052912936</v>
      </c>
      <c r="C855" s="291"/>
      <c r="D855" s="265"/>
    </row>
    <row r="856" spans="1:4">
      <c r="A856" s="285" t="s">
        <v>55</v>
      </c>
      <c r="B856" s="274">
        <f>$B$795</f>
        <v>305.7148052912936</v>
      </c>
      <c r="C856" s="291"/>
      <c r="D856" s="265"/>
    </row>
    <row r="857" spans="1:4">
      <c r="A857" s="285" t="s">
        <v>91</v>
      </c>
      <c r="B857" s="291"/>
      <c r="C857" s="291"/>
      <c r="D857" s="265"/>
    </row>
    <row r="858" spans="1:4">
      <c r="A858" s="285" t="s">
        <v>56</v>
      </c>
      <c r="B858" s="274">
        <f>$B$796</f>
        <v>687.79718183986074</v>
      </c>
      <c r="C858" s="291"/>
      <c r="D858" s="265"/>
    </row>
    <row r="859" spans="1:4">
      <c r="A859" s="285" t="s">
        <v>57</v>
      </c>
      <c r="B859" s="274">
        <f>$B$797</f>
        <v>687.79718183986074</v>
      </c>
      <c r="C859" s="291"/>
      <c r="D859" s="265"/>
    </row>
    <row r="860" spans="1:4">
      <c r="A860" s="285" t="s">
        <v>92</v>
      </c>
      <c r="B860" s="291"/>
      <c r="C860" s="291"/>
      <c r="D860" s="265"/>
    </row>
    <row r="861" spans="1:4">
      <c r="A861" s="285" t="s">
        <v>58</v>
      </c>
      <c r="B861" s="274">
        <f>$B$798</f>
        <v>837.38816869985578</v>
      </c>
      <c r="C861" s="291"/>
      <c r="D861" s="265"/>
    </row>
    <row r="862" spans="1:4">
      <c r="A862" s="285" t="s">
        <v>59</v>
      </c>
      <c r="B862" s="274">
        <f>$B$799</f>
        <v>621.02378639698088</v>
      </c>
      <c r="C862" s="291"/>
      <c r="D862" s="265"/>
    </row>
    <row r="863" spans="1:4">
      <c r="A863" s="285" t="s">
        <v>72</v>
      </c>
      <c r="B863" s="291"/>
      <c r="C863" s="274">
        <f>$B$841</f>
        <v>10787.568180979291</v>
      </c>
      <c r="D863" s="265"/>
    </row>
    <row r="864" spans="1:4">
      <c r="A864" s="285" t="s">
        <v>1178</v>
      </c>
      <c r="B864" s="274">
        <f>$B$800</f>
        <v>305.7148052912936</v>
      </c>
      <c r="C864" s="291"/>
      <c r="D864" s="265"/>
    </row>
    <row r="865" spans="1:4">
      <c r="A865" s="285" t="s">
        <v>1177</v>
      </c>
      <c r="B865" s="274">
        <f>$B$801</f>
        <v>687.79718183986074</v>
      </c>
      <c r="C865" s="291"/>
      <c r="D865" s="265"/>
    </row>
    <row r="866" spans="1:4">
      <c r="A866" s="285" t="s">
        <v>60</v>
      </c>
      <c r="B866" s="274">
        <f>$B$802</f>
        <v>1411.7252708981218</v>
      </c>
      <c r="C866" s="291"/>
      <c r="D866" s="265"/>
    </row>
    <row r="867" spans="1:4">
      <c r="A867" s="285" t="s">
        <v>61</v>
      </c>
      <c r="B867" s="274">
        <f>$B$803</f>
        <v>1087.3292823736058</v>
      </c>
      <c r="C867" s="291"/>
      <c r="D867" s="265"/>
    </row>
    <row r="868" spans="1:4">
      <c r="A868" s="285" t="s">
        <v>73</v>
      </c>
      <c r="B868" s="291"/>
      <c r="C868" s="274">
        <f>$B$842</f>
        <v>10787.568180979291</v>
      </c>
      <c r="D868" s="265"/>
    </row>
    <row r="869" spans="1:4">
      <c r="A869" s="285" t="s">
        <v>93</v>
      </c>
      <c r="B869" s="291"/>
      <c r="C869" s="291"/>
      <c r="D869" s="265"/>
    </row>
    <row r="870" spans="1:4">
      <c r="A870" s="285" t="s">
        <v>94</v>
      </c>
      <c r="B870" s="291"/>
      <c r="C870" s="291"/>
      <c r="D870" s="265"/>
    </row>
    <row r="871" spans="1:4">
      <c r="A871" s="285" t="s">
        <v>95</v>
      </c>
      <c r="B871" s="291"/>
      <c r="C871" s="291"/>
      <c r="D871" s="265"/>
    </row>
    <row r="872" spans="1:4">
      <c r="A872" s="285" t="s">
        <v>96</v>
      </c>
      <c r="B872" s="291"/>
      <c r="C872" s="291"/>
      <c r="D872" s="265"/>
    </row>
    <row r="873" spans="1:4">
      <c r="A873" s="285" t="s">
        <v>97</v>
      </c>
      <c r="B873" s="291"/>
      <c r="C873" s="291"/>
      <c r="D873" s="265"/>
    </row>
    <row r="874" spans="1:4">
      <c r="A874" s="285" t="s">
        <v>1176</v>
      </c>
      <c r="B874" s="274">
        <f>$B$804</f>
        <v>0</v>
      </c>
      <c r="C874" s="291"/>
      <c r="D874" s="265"/>
    </row>
    <row r="875" spans="1:4">
      <c r="A875" s="285" t="s">
        <v>62</v>
      </c>
      <c r="B875" s="274">
        <f>$B$805</f>
        <v>0</v>
      </c>
      <c r="C875" s="291"/>
      <c r="D875" s="265"/>
    </row>
    <row r="876" spans="1:4">
      <c r="A876" s="285" t="s">
        <v>63</v>
      </c>
      <c r="B876" s="274">
        <f>$B$806</f>
        <v>0</v>
      </c>
      <c r="C876" s="291"/>
      <c r="D876" s="265"/>
    </row>
    <row r="877" spans="1:4">
      <c r="A877" s="285" t="s">
        <v>1516</v>
      </c>
      <c r="B877" s="274">
        <f>$B$807</f>
        <v>0</v>
      </c>
      <c r="C877" s="291"/>
      <c r="D877" s="265"/>
    </row>
    <row r="878" spans="1:4">
      <c r="A878" s="285" t="s">
        <v>64</v>
      </c>
      <c r="B878" s="274">
        <f>$B$808</f>
        <v>0</v>
      </c>
      <c r="C878" s="291"/>
      <c r="D878" s="265"/>
    </row>
    <row r="879" spans="1:4">
      <c r="A879" s="285" t="s">
        <v>1517</v>
      </c>
      <c r="B879" s="274">
        <f>$B$809</f>
        <v>0</v>
      </c>
      <c r="C879" s="291"/>
      <c r="D879" s="265"/>
    </row>
    <row r="880" spans="1:4">
      <c r="A880" s="285" t="s">
        <v>65</v>
      </c>
      <c r="B880" s="274">
        <f>$B$810</f>
        <v>0</v>
      </c>
      <c r="C880" s="291"/>
      <c r="D880" s="265"/>
    </row>
    <row r="881" spans="1:4">
      <c r="A881" s="285" t="s">
        <v>1518</v>
      </c>
      <c r="B881" s="274">
        <f>$B$811</f>
        <v>0</v>
      </c>
      <c r="C881" s="291"/>
      <c r="D881" s="265"/>
    </row>
    <row r="882" spans="1:4">
      <c r="A882" s="285" t="s">
        <v>66</v>
      </c>
      <c r="B882" s="274">
        <f>$B$812</f>
        <v>0</v>
      </c>
      <c r="C882" s="291"/>
      <c r="D882" s="265"/>
    </row>
    <row r="883" spans="1:4">
      <c r="A883" s="285" t="s">
        <v>1519</v>
      </c>
      <c r="B883" s="274">
        <f>$B$813</f>
        <v>0</v>
      </c>
      <c r="C883" s="291"/>
      <c r="D883" s="265"/>
    </row>
    <row r="884" spans="1:4">
      <c r="A884" s="285" t="s">
        <v>74</v>
      </c>
      <c r="B884" s="291"/>
      <c r="C884" s="274">
        <f>$B$843</f>
        <v>5201.0510362394189</v>
      </c>
      <c r="D884" s="265"/>
    </row>
    <row r="885" spans="1:4">
      <c r="A885" s="285" t="s">
        <v>1520</v>
      </c>
      <c r="B885" s="291"/>
      <c r="C885" s="274">
        <f>$B$844</f>
        <v>5201.0510362394189</v>
      </c>
      <c r="D885" s="265"/>
    </row>
    <row r="886" spans="1:4">
      <c r="A886" s="285" t="s">
        <v>75</v>
      </c>
      <c r="B886" s="291"/>
      <c r="C886" s="274">
        <f>$B$845</f>
        <v>5201.0510362394189</v>
      </c>
      <c r="D886" s="265"/>
    </row>
    <row r="887" spans="1:4">
      <c r="A887" s="285" t="s">
        <v>1521</v>
      </c>
      <c r="B887" s="291"/>
      <c r="C887" s="274">
        <f>$B$846</f>
        <v>5201.0510362394189</v>
      </c>
      <c r="D887" s="265"/>
    </row>
    <row r="889" spans="1:4" ht="21" customHeight="1">
      <c r="A889" s="1" t="s">
        <v>337</v>
      </c>
    </row>
    <row r="890" spans="1:4">
      <c r="A890" s="264" t="s">
        <v>217</v>
      </c>
    </row>
    <row r="891" spans="1:4">
      <c r="A891" s="269" t="s">
        <v>338</v>
      </c>
    </row>
    <row r="892" spans="1:4">
      <c r="A892" s="269" t="s">
        <v>339</v>
      </c>
    </row>
    <row r="893" spans="1:4">
      <c r="A893" s="269" t="s">
        <v>311</v>
      </c>
    </row>
    <row r="894" spans="1:4">
      <c r="A894" s="269" t="s">
        <v>340</v>
      </c>
    </row>
    <row r="895" spans="1:4">
      <c r="A895" s="269" t="s">
        <v>341</v>
      </c>
    </row>
    <row r="896" spans="1:4">
      <c r="A896" s="270" t="s">
        <v>220</v>
      </c>
      <c r="B896" s="270" t="s">
        <v>342</v>
      </c>
      <c r="C896" s="270"/>
      <c r="D896" s="270" t="s">
        <v>343</v>
      </c>
    </row>
    <row r="897" spans="1:5">
      <c r="A897" s="270" t="s">
        <v>223</v>
      </c>
      <c r="B897" s="270" t="s">
        <v>344</v>
      </c>
      <c r="C897" s="270"/>
      <c r="D897" s="270" t="s">
        <v>345</v>
      </c>
    </row>
    <row r="899" spans="1:5">
      <c r="B899" s="295" t="s">
        <v>346</v>
      </c>
      <c r="C899" s="295"/>
    </row>
    <row r="900" spans="1:5" ht="30">
      <c r="B900" s="284" t="s">
        <v>326</v>
      </c>
      <c r="C900" s="284" t="s">
        <v>333</v>
      </c>
      <c r="D900" s="284" t="s">
        <v>347</v>
      </c>
    </row>
    <row r="901" spans="1:5">
      <c r="A901" s="285" t="s">
        <v>54</v>
      </c>
      <c r="B901" s="273">
        <f t="shared" ref="B901:C916" si="24">100/$F$14*B855*$B$657*$D$14</f>
        <v>0</v>
      </c>
      <c r="C901" s="273">
        <f t="shared" si="24"/>
        <v>0</v>
      </c>
      <c r="D901" s="273">
        <f t="shared" ref="D901:D933" si="25">SUM($B901:$C901)</f>
        <v>0</v>
      </c>
      <c r="E901" s="265"/>
    </row>
    <row r="902" spans="1:5">
      <c r="A902" s="285" t="s">
        <v>55</v>
      </c>
      <c r="B902" s="273">
        <f t="shared" si="24"/>
        <v>0</v>
      </c>
      <c r="C902" s="273">
        <f t="shared" si="24"/>
        <v>0</v>
      </c>
      <c r="D902" s="273">
        <f t="shared" si="25"/>
        <v>0</v>
      </c>
      <c r="E902" s="265"/>
    </row>
    <row r="903" spans="1:5">
      <c r="A903" s="285" t="s">
        <v>91</v>
      </c>
      <c r="B903" s="273">
        <f t="shared" si="24"/>
        <v>0</v>
      </c>
      <c r="C903" s="273">
        <f t="shared" si="24"/>
        <v>0</v>
      </c>
      <c r="D903" s="273">
        <f t="shared" si="25"/>
        <v>0</v>
      </c>
      <c r="E903" s="265"/>
    </row>
    <row r="904" spans="1:5">
      <c r="A904" s="285" t="s">
        <v>56</v>
      </c>
      <c r="B904" s="273">
        <f t="shared" si="24"/>
        <v>0</v>
      </c>
      <c r="C904" s="273">
        <f t="shared" si="24"/>
        <v>0</v>
      </c>
      <c r="D904" s="273">
        <f t="shared" si="25"/>
        <v>0</v>
      </c>
      <c r="E904" s="265"/>
    </row>
    <row r="905" spans="1:5">
      <c r="A905" s="285" t="s">
        <v>57</v>
      </c>
      <c r="B905" s="273">
        <f t="shared" si="24"/>
        <v>0</v>
      </c>
      <c r="C905" s="273">
        <f t="shared" si="24"/>
        <v>0</v>
      </c>
      <c r="D905" s="273">
        <f t="shared" si="25"/>
        <v>0</v>
      </c>
      <c r="E905" s="265"/>
    </row>
    <row r="906" spans="1:5">
      <c r="A906" s="285" t="s">
        <v>92</v>
      </c>
      <c r="B906" s="273">
        <f t="shared" si="24"/>
        <v>0</v>
      </c>
      <c r="C906" s="273">
        <f t="shared" si="24"/>
        <v>0</v>
      </c>
      <c r="D906" s="273">
        <f t="shared" si="25"/>
        <v>0</v>
      </c>
      <c r="E906" s="265"/>
    </row>
    <row r="907" spans="1:5">
      <c r="A907" s="285" t="s">
        <v>58</v>
      </c>
      <c r="B907" s="273">
        <f t="shared" si="24"/>
        <v>0</v>
      </c>
      <c r="C907" s="273">
        <f t="shared" si="24"/>
        <v>0</v>
      </c>
      <c r="D907" s="273">
        <f t="shared" si="25"/>
        <v>0</v>
      </c>
      <c r="E907" s="265"/>
    </row>
    <row r="908" spans="1:5">
      <c r="A908" s="285" t="s">
        <v>59</v>
      </c>
      <c r="B908" s="273">
        <f t="shared" si="24"/>
        <v>0</v>
      </c>
      <c r="C908" s="273">
        <f t="shared" si="24"/>
        <v>0</v>
      </c>
      <c r="D908" s="273">
        <f t="shared" si="25"/>
        <v>0</v>
      </c>
      <c r="E908" s="265"/>
    </row>
    <row r="909" spans="1:5">
      <c r="A909" s="285" t="s">
        <v>72</v>
      </c>
      <c r="B909" s="273">
        <f t="shared" si="24"/>
        <v>0</v>
      </c>
      <c r="C909" s="273">
        <f t="shared" si="24"/>
        <v>0</v>
      </c>
      <c r="D909" s="273">
        <f t="shared" si="25"/>
        <v>0</v>
      </c>
      <c r="E909" s="265"/>
    </row>
    <row r="910" spans="1:5">
      <c r="A910" s="285" t="s">
        <v>1178</v>
      </c>
      <c r="B910" s="273">
        <f t="shared" si="24"/>
        <v>0</v>
      </c>
      <c r="C910" s="273">
        <f t="shared" si="24"/>
        <v>0</v>
      </c>
      <c r="D910" s="273">
        <f t="shared" si="25"/>
        <v>0</v>
      </c>
      <c r="E910" s="265"/>
    </row>
    <row r="911" spans="1:5">
      <c r="A911" s="285" t="s">
        <v>1177</v>
      </c>
      <c r="B911" s="273">
        <f t="shared" si="24"/>
        <v>0</v>
      </c>
      <c r="C911" s="273">
        <f t="shared" si="24"/>
        <v>0</v>
      </c>
      <c r="D911" s="273">
        <f t="shared" si="25"/>
        <v>0</v>
      </c>
      <c r="E911" s="265"/>
    </row>
    <row r="912" spans="1:5">
      <c r="A912" s="285" t="s">
        <v>60</v>
      </c>
      <c r="B912" s="273">
        <f t="shared" si="24"/>
        <v>0</v>
      </c>
      <c r="C912" s="273">
        <f t="shared" si="24"/>
        <v>0</v>
      </c>
      <c r="D912" s="273">
        <f t="shared" si="25"/>
        <v>0</v>
      </c>
      <c r="E912" s="265"/>
    </row>
    <row r="913" spans="1:5">
      <c r="A913" s="285" t="s">
        <v>61</v>
      </c>
      <c r="B913" s="273">
        <f t="shared" si="24"/>
        <v>0</v>
      </c>
      <c r="C913" s="273">
        <f t="shared" si="24"/>
        <v>0</v>
      </c>
      <c r="D913" s="273">
        <f t="shared" si="25"/>
        <v>0</v>
      </c>
      <c r="E913" s="265"/>
    </row>
    <row r="914" spans="1:5">
      <c r="A914" s="285" t="s">
        <v>73</v>
      </c>
      <c r="B914" s="273">
        <f t="shared" si="24"/>
        <v>0</v>
      </c>
      <c r="C914" s="273">
        <f t="shared" si="24"/>
        <v>0</v>
      </c>
      <c r="D914" s="273">
        <f t="shared" si="25"/>
        <v>0</v>
      </c>
      <c r="E914" s="265"/>
    </row>
    <row r="915" spans="1:5">
      <c r="A915" s="285" t="s">
        <v>93</v>
      </c>
      <c r="B915" s="273">
        <f t="shared" si="24"/>
        <v>0</v>
      </c>
      <c r="C915" s="273">
        <f t="shared" si="24"/>
        <v>0</v>
      </c>
      <c r="D915" s="273">
        <f t="shared" si="25"/>
        <v>0</v>
      </c>
      <c r="E915" s="265"/>
    </row>
    <row r="916" spans="1:5">
      <c r="A916" s="285" t="s">
        <v>94</v>
      </c>
      <c r="B916" s="273">
        <f t="shared" si="24"/>
        <v>0</v>
      </c>
      <c r="C916" s="273">
        <f t="shared" si="24"/>
        <v>0</v>
      </c>
      <c r="D916" s="273">
        <f t="shared" si="25"/>
        <v>0</v>
      </c>
      <c r="E916" s="265"/>
    </row>
    <row r="917" spans="1:5">
      <c r="A917" s="285" t="s">
        <v>95</v>
      </c>
      <c r="B917" s="273">
        <f t="shared" ref="B917:C932" si="26">100/$F$14*B871*$B$657*$D$14</f>
        <v>0</v>
      </c>
      <c r="C917" s="273">
        <f t="shared" si="26"/>
        <v>0</v>
      </c>
      <c r="D917" s="273">
        <f t="shared" si="25"/>
        <v>0</v>
      </c>
      <c r="E917" s="265"/>
    </row>
    <row r="918" spans="1:5">
      <c r="A918" s="285" t="s">
        <v>96</v>
      </c>
      <c r="B918" s="273">
        <f t="shared" si="26"/>
        <v>0</v>
      </c>
      <c r="C918" s="273">
        <f t="shared" si="26"/>
        <v>0</v>
      </c>
      <c r="D918" s="273">
        <f t="shared" si="25"/>
        <v>0</v>
      </c>
      <c r="E918" s="265"/>
    </row>
    <row r="919" spans="1:5">
      <c r="A919" s="285" t="s">
        <v>97</v>
      </c>
      <c r="B919" s="273">
        <f t="shared" si="26"/>
        <v>0</v>
      </c>
      <c r="C919" s="273">
        <f t="shared" si="26"/>
        <v>0</v>
      </c>
      <c r="D919" s="273">
        <f t="shared" si="25"/>
        <v>0</v>
      </c>
      <c r="E919" s="265"/>
    </row>
    <row r="920" spans="1:5">
      <c r="A920" s="285" t="s">
        <v>1176</v>
      </c>
      <c r="B920" s="273">
        <f t="shared" si="26"/>
        <v>0</v>
      </c>
      <c r="C920" s="273">
        <f t="shared" si="26"/>
        <v>0</v>
      </c>
      <c r="D920" s="273">
        <f t="shared" si="25"/>
        <v>0</v>
      </c>
      <c r="E920" s="265"/>
    </row>
    <row r="921" spans="1:5">
      <c r="A921" s="285" t="s">
        <v>62</v>
      </c>
      <c r="B921" s="273">
        <f t="shared" si="26"/>
        <v>0</v>
      </c>
      <c r="C921" s="273">
        <f t="shared" si="26"/>
        <v>0</v>
      </c>
      <c r="D921" s="273">
        <f t="shared" si="25"/>
        <v>0</v>
      </c>
      <c r="E921" s="265"/>
    </row>
    <row r="922" spans="1:5">
      <c r="A922" s="285" t="s">
        <v>63</v>
      </c>
      <c r="B922" s="273">
        <f t="shared" si="26"/>
        <v>0</v>
      </c>
      <c r="C922" s="273">
        <f t="shared" si="26"/>
        <v>0</v>
      </c>
      <c r="D922" s="273">
        <f t="shared" si="25"/>
        <v>0</v>
      </c>
      <c r="E922" s="265"/>
    </row>
    <row r="923" spans="1:5">
      <c r="A923" s="285" t="s">
        <v>1516</v>
      </c>
      <c r="B923" s="273">
        <f t="shared" si="26"/>
        <v>0</v>
      </c>
      <c r="C923" s="273">
        <f t="shared" si="26"/>
        <v>0</v>
      </c>
      <c r="D923" s="273">
        <f t="shared" si="25"/>
        <v>0</v>
      </c>
      <c r="E923" s="265"/>
    </row>
    <row r="924" spans="1:5">
      <c r="A924" s="285" t="s">
        <v>64</v>
      </c>
      <c r="B924" s="273">
        <f t="shared" si="26"/>
        <v>0</v>
      </c>
      <c r="C924" s="273">
        <f t="shared" si="26"/>
        <v>0</v>
      </c>
      <c r="D924" s="273">
        <f t="shared" si="25"/>
        <v>0</v>
      </c>
      <c r="E924" s="265"/>
    </row>
    <row r="925" spans="1:5">
      <c r="A925" s="285" t="s">
        <v>1517</v>
      </c>
      <c r="B925" s="273">
        <f t="shared" si="26"/>
        <v>0</v>
      </c>
      <c r="C925" s="273">
        <f t="shared" si="26"/>
        <v>0</v>
      </c>
      <c r="D925" s="273">
        <f t="shared" si="25"/>
        <v>0</v>
      </c>
      <c r="E925" s="265"/>
    </row>
    <row r="926" spans="1:5">
      <c r="A926" s="285" t="s">
        <v>65</v>
      </c>
      <c r="B926" s="273">
        <f t="shared" si="26"/>
        <v>0</v>
      </c>
      <c r="C926" s="273">
        <f t="shared" si="26"/>
        <v>0</v>
      </c>
      <c r="D926" s="273">
        <f t="shared" si="25"/>
        <v>0</v>
      </c>
      <c r="E926" s="265"/>
    </row>
    <row r="927" spans="1:5">
      <c r="A927" s="285" t="s">
        <v>1518</v>
      </c>
      <c r="B927" s="273">
        <f t="shared" si="26"/>
        <v>0</v>
      </c>
      <c r="C927" s="273">
        <f t="shared" si="26"/>
        <v>0</v>
      </c>
      <c r="D927" s="273">
        <f t="shared" si="25"/>
        <v>0</v>
      </c>
      <c r="E927" s="265"/>
    </row>
    <row r="928" spans="1:5">
      <c r="A928" s="285" t="s">
        <v>66</v>
      </c>
      <c r="B928" s="273">
        <f t="shared" si="26"/>
        <v>0</v>
      </c>
      <c r="C928" s="273">
        <f t="shared" si="26"/>
        <v>0</v>
      </c>
      <c r="D928" s="273">
        <f t="shared" si="25"/>
        <v>0</v>
      </c>
      <c r="E928" s="265"/>
    </row>
    <row r="929" spans="1:5">
      <c r="A929" s="285" t="s">
        <v>1519</v>
      </c>
      <c r="B929" s="273">
        <f t="shared" si="26"/>
        <v>0</v>
      </c>
      <c r="C929" s="273">
        <f t="shared" si="26"/>
        <v>0</v>
      </c>
      <c r="D929" s="273">
        <f t="shared" si="25"/>
        <v>0</v>
      </c>
      <c r="E929" s="265"/>
    </row>
    <row r="930" spans="1:5">
      <c r="A930" s="285" t="s">
        <v>74</v>
      </c>
      <c r="B930" s="273">
        <f t="shared" si="26"/>
        <v>0</v>
      </c>
      <c r="C930" s="273">
        <f t="shared" si="26"/>
        <v>0</v>
      </c>
      <c r="D930" s="273">
        <f t="shared" si="25"/>
        <v>0</v>
      </c>
      <c r="E930" s="265"/>
    </row>
    <row r="931" spans="1:5">
      <c r="A931" s="285" t="s">
        <v>1520</v>
      </c>
      <c r="B931" s="273">
        <f t="shared" si="26"/>
        <v>0</v>
      </c>
      <c r="C931" s="273">
        <f t="shared" si="26"/>
        <v>0</v>
      </c>
      <c r="D931" s="273">
        <f t="shared" si="25"/>
        <v>0</v>
      </c>
      <c r="E931" s="265"/>
    </row>
    <row r="932" spans="1:5">
      <c r="A932" s="285" t="s">
        <v>75</v>
      </c>
      <c r="B932" s="273">
        <f t="shared" si="26"/>
        <v>0</v>
      </c>
      <c r="C932" s="273">
        <f t="shared" si="26"/>
        <v>0</v>
      </c>
      <c r="D932" s="273">
        <f t="shared" si="25"/>
        <v>0</v>
      </c>
      <c r="E932" s="265"/>
    </row>
    <row r="933" spans="1:5">
      <c r="A933" s="285" t="s">
        <v>1521</v>
      </c>
      <c r="B933" s="273">
        <f t="shared" ref="B933:C933" si="27">100/$F$14*B887*$B$657*$D$14</f>
        <v>0</v>
      </c>
      <c r="C933" s="273">
        <f t="shared" si="27"/>
        <v>0</v>
      </c>
      <c r="D933" s="273">
        <f t="shared" si="25"/>
        <v>0</v>
      </c>
      <c r="E933" s="265"/>
    </row>
    <row r="935" spans="1:5" ht="21" customHeight="1">
      <c r="A935" s="1" t="str">
        <f>"Load characteristics for "&amp;CDCM!B7&amp;" in "&amp;CDCM!C7&amp;" ("&amp;CDCM!D7&amp;")"</f>
        <v>Load characteristics for 0 in 0 (0)</v>
      </c>
    </row>
    <row r="936" spans="1:5">
      <c r="A936" s="264" t="s">
        <v>348</v>
      </c>
    </row>
    <row r="937" spans="1:5">
      <c r="A937" s="264"/>
    </row>
    <row r="938" spans="1:5">
      <c r="A938" s="264" t="s">
        <v>349</v>
      </c>
    </row>
    <row r="939" spans="1:5">
      <c r="A939" s="264" t="s">
        <v>350</v>
      </c>
    </row>
    <row r="940" spans="1:5">
      <c r="A940" s="264"/>
    </row>
    <row r="941" spans="1:5">
      <c r="A941" s="264" t="s">
        <v>351</v>
      </c>
    </row>
    <row r="942" spans="1:5">
      <c r="A942" s="264" t="s">
        <v>352</v>
      </c>
    </row>
    <row r="943" spans="1:5">
      <c r="A943" s="264" t="s">
        <v>353</v>
      </c>
    </row>
    <row r="944" spans="1:5">
      <c r="A944" s="264" t="s">
        <v>354</v>
      </c>
    </row>
    <row r="946" spans="1:3" ht="21" customHeight="1">
      <c r="A946" s="1" t="s">
        <v>355</v>
      </c>
    </row>
    <row r="947" spans="1:3">
      <c r="A947" s="264" t="s">
        <v>217</v>
      </c>
    </row>
    <row r="948" spans="1:3">
      <c r="A948" s="269" t="s">
        <v>356</v>
      </c>
    </row>
    <row r="949" spans="1:3">
      <c r="A949" s="269" t="s">
        <v>357</v>
      </c>
    </row>
    <row r="950" spans="1:3">
      <c r="A950" s="264" t="s">
        <v>294</v>
      </c>
    </row>
    <row r="952" spans="1:3">
      <c r="B952" s="284" t="s">
        <v>358</v>
      </c>
    </row>
    <row r="953" spans="1:3">
      <c r="A953" s="285" t="s">
        <v>54</v>
      </c>
      <c r="B953" s="273">
        <f t="shared" ref="B953:B971" si="28">B122/C122</f>
        <v>2.1919447990117185</v>
      </c>
      <c r="C953" s="265"/>
    </row>
    <row r="954" spans="1:3">
      <c r="A954" s="285" t="s">
        <v>55</v>
      </c>
      <c r="B954" s="273">
        <f t="shared" si="28"/>
        <v>1.3282160307030606</v>
      </c>
      <c r="C954" s="265"/>
    </row>
    <row r="955" spans="1:3">
      <c r="A955" s="285" t="s">
        <v>91</v>
      </c>
      <c r="B955" s="273">
        <f t="shared" si="28"/>
        <v>0</v>
      </c>
      <c r="C955" s="265"/>
    </row>
    <row r="956" spans="1:3">
      <c r="A956" s="285" t="s">
        <v>56</v>
      </c>
      <c r="B956" s="273">
        <f t="shared" si="28"/>
        <v>1.6232766834359325</v>
      </c>
      <c r="C956" s="265"/>
    </row>
    <row r="957" spans="1:3">
      <c r="A957" s="285" t="s">
        <v>57</v>
      </c>
      <c r="B957" s="273">
        <f t="shared" si="28"/>
        <v>1.3726222953582843</v>
      </c>
      <c r="C957" s="265"/>
    </row>
    <row r="958" spans="1:3">
      <c r="A958" s="285" t="s">
        <v>92</v>
      </c>
      <c r="B958" s="273">
        <f t="shared" si="28"/>
        <v>0</v>
      </c>
      <c r="C958" s="265"/>
    </row>
    <row r="959" spans="1:3">
      <c r="A959" s="285" t="s">
        <v>58</v>
      </c>
      <c r="B959" s="273">
        <f t="shared" si="28"/>
        <v>1.4463428899017581</v>
      </c>
      <c r="C959" s="265"/>
    </row>
    <row r="960" spans="1:3">
      <c r="A960" s="285" t="s">
        <v>59</v>
      </c>
      <c r="B960" s="273">
        <f t="shared" si="28"/>
        <v>1.3968427058558737</v>
      </c>
      <c r="C960" s="265"/>
    </row>
    <row r="961" spans="1:3">
      <c r="A961" s="285" t="s">
        <v>72</v>
      </c>
      <c r="B961" s="273">
        <f t="shared" si="28"/>
        <v>1.4579215283687421</v>
      </c>
      <c r="C961" s="265"/>
    </row>
    <row r="962" spans="1:3">
      <c r="A962" s="285" t="s">
        <v>1178</v>
      </c>
      <c r="B962" s="273">
        <f t="shared" si="28"/>
        <v>2.1179606022753754</v>
      </c>
      <c r="C962" s="265"/>
    </row>
    <row r="963" spans="1:3">
      <c r="A963" s="285" t="s">
        <v>1177</v>
      </c>
      <c r="B963" s="273">
        <f t="shared" si="28"/>
        <v>1.5933859633114782</v>
      </c>
      <c r="C963" s="265"/>
    </row>
    <row r="964" spans="1:3">
      <c r="A964" s="285" t="s">
        <v>60</v>
      </c>
      <c r="B964" s="273">
        <f t="shared" si="28"/>
        <v>1.3671116295242181</v>
      </c>
      <c r="C964" s="265"/>
    </row>
    <row r="965" spans="1:3">
      <c r="A965" s="285" t="s">
        <v>61</v>
      </c>
      <c r="B965" s="273">
        <f t="shared" si="28"/>
        <v>1.2523268596638797</v>
      </c>
      <c r="C965" s="265"/>
    </row>
    <row r="966" spans="1:3">
      <c r="A966" s="285" t="s">
        <v>73</v>
      </c>
      <c r="B966" s="273">
        <f t="shared" si="28"/>
        <v>1.1074938906417937</v>
      </c>
      <c r="C966" s="265"/>
    </row>
    <row r="967" spans="1:3">
      <c r="A967" s="285" t="s">
        <v>93</v>
      </c>
      <c r="B967" s="273">
        <f t="shared" si="28"/>
        <v>1</v>
      </c>
      <c r="C967" s="265"/>
    </row>
    <row r="968" spans="1:3">
      <c r="A968" s="285" t="s">
        <v>94</v>
      </c>
      <c r="B968" s="273">
        <f t="shared" si="28"/>
        <v>2.0715149979654655</v>
      </c>
      <c r="C968" s="265"/>
    </row>
    <row r="969" spans="1:3">
      <c r="A969" s="285" t="s">
        <v>95</v>
      </c>
      <c r="B969" s="273">
        <f t="shared" si="28"/>
        <v>3.5746979792074516</v>
      </c>
      <c r="C969" s="265"/>
    </row>
    <row r="970" spans="1:3">
      <c r="A970" s="285" t="s">
        <v>96</v>
      </c>
      <c r="B970" s="273">
        <f t="shared" si="28"/>
        <v>0</v>
      </c>
      <c r="C970" s="265"/>
    </row>
    <row r="971" spans="1:3">
      <c r="A971" s="285" t="s">
        <v>97</v>
      </c>
      <c r="B971" s="273">
        <f t="shared" si="28"/>
        <v>2.1325787020283626</v>
      </c>
      <c r="C971" s="265"/>
    </row>
    <row r="973" spans="1:3" ht="21" customHeight="1">
      <c r="A973" s="1" t="s">
        <v>359</v>
      </c>
    </row>
    <row r="974" spans="1:3">
      <c r="A974" s="264" t="s">
        <v>217</v>
      </c>
    </row>
    <row r="975" spans="1:3">
      <c r="A975" s="269" t="s">
        <v>360</v>
      </c>
    </row>
    <row r="976" spans="1:3">
      <c r="A976" s="264" t="s">
        <v>361</v>
      </c>
    </row>
    <row r="977" spans="1:3">
      <c r="A977" s="264" t="s">
        <v>235</v>
      </c>
    </row>
    <row r="979" spans="1:3">
      <c r="B979" s="284" t="s">
        <v>362</v>
      </c>
    </row>
    <row r="980" spans="1:3">
      <c r="A980" s="285" t="s">
        <v>54</v>
      </c>
      <c r="B980" s="274">
        <f>B$953</f>
        <v>2.1919447990117185</v>
      </c>
      <c r="C980" s="265"/>
    </row>
    <row r="981" spans="1:3">
      <c r="A981" s="285" t="s">
        <v>55</v>
      </c>
      <c r="B981" s="274">
        <f>B$954</f>
        <v>1.3282160307030606</v>
      </c>
      <c r="C981" s="265"/>
    </row>
    <row r="982" spans="1:3">
      <c r="A982" s="285" t="s">
        <v>91</v>
      </c>
      <c r="B982" s="274">
        <f>B$955</f>
        <v>0</v>
      </c>
      <c r="C982" s="265"/>
    </row>
    <row r="983" spans="1:3">
      <c r="A983" s="285" t="s">
        <v>56</v>
      </c>
      <c r="B983" s="274">
        <f>B$956</f>
        <v>1.6232766834359325</v>
      </c>
      <c r="C983" s="265"/>
    </row>
    <row r="984" spans="1:3">
      <c r="A984" s="285" t="s">
        <v>57</v>
      </c>
      <c r="B984" s="274">
        <f>B$957</f>
        <v>1.3726222953582843</v>
      </c>
      <c r="C984" s="265"/>
    </row>
    <row r="985" spans="1:3">
      <c r="A985" s="285" t="s">
        <v>92</v>
      </c>
      <c r="B985" s="274">
        <f>B$958</f>
        <v>0</v>
      </c>
      <c r="C985" s="265"/>
    </row>
    <row r="986" spans="1:3">
      <c r="A986" s="285" t="s">
        <v>58</v>
      </c>
      <c r="B986" s="274">
        <f>B$959</f>
        <v>1.4463428899017581</v>
      </c>
      <c r="C986" s="265"/>
    </row>
    <row r="987" spans="1:3">
      <c r="A987" s="285" t="s">
        <v>59</v>
      </c>
      <c r="B987" s="274">
        <f>B$960</f>
        <v>1.3968427058558737</v>
      </c>
      <c r="C987" s="265"/>
    </row>
    <row r="988" spans="1:3">
      <c r="A988" s="285" t="s">
        <v>72</v>
      </c>
      <c r="B988" s="274">
        <f>B$961</f>
        <v>1.4579215283687421</v>
      </c>
      <c r="C988" s="265"/>
    </row>
    <row r="989" spans="1:3">
      <c r="A989" s="285" t="s">
        <v>1178</v>
      </c>
      <c r="B989" s="274">
        <f>B$962</f>
        <v>2.1179606022753754</v>
      </c>
      <c r="C989" s="265"/>
    </row>
    <row r="990" spans="1:3">
      <c r="A990" s="285" t="s">
        <v>1177</v>
      </c>
      <c r="B990" s="274">
        <f>B$963</f>
        <v>1.5933859633114782</v>
      </c>
      <c r="C990" s="265"/>
    </row>
    <row r="991" spans="1:3">
      <c r="A991" s="285" t="s">
        <v>60</v>
      </c>
      <c r="B991" s="274">
        <f>B$964</f>
        <v>1.3671116295242181</v>
      </c>
      <c r="C991" s="265"/>
    </row>
    <row r="992" spans="1:3">
      <c r="A992" s="285" t="s">
        <v>61</v>
      </c>
      <c r="B992" s="274">
        <f>B$965</f>
        <v>1.2523268596638797</v>
      </c>
      <c r="C992" s="265"/>
    </row>
    <row r="993" spans="1:3">
      <c r="A993" s="285" t="s">
        <v>73</v>
      </c>
      <c r="B993" s="274">
        <f>B$966</f>
        <v>1.1074938906417937</v>
      </c>
      <c r="C993" s="265"/>
    </row>
    <row r="994" spans="1:3">
      <c r="A994" s="285" t="s">
        <v>93</v>
      </c>
      <c r="B994" s="274">
        <f>B$967</f>
        <v>1</v>
      </c>
      <c r="C994" s="265"/>
    </row>
    <row r="995" spans="1:3">
      <c r="A995" s="285" t="s">
        <v>94</v>
      </c>
      <c r="B995" s="274">
        <f>B$968</f>
        <v>2.0715149979654655</v>
      </c>
      <c r="C995" s="265"/>
    </row>
    <row r="996" spans="1:3">
      <c r="A996" s="285" t="s">
        <v>95</v>
      </c>
      <c r="B996" s="274">
        <f>B$969</f>
        <v>3.5746979792074516</v>
      </c>
      <c r="C996" s="265"/>
    </row>
    <row r="997" spans="1:3">
      <c r="A997" s="285" t="s">
        <v>96</v>
      </c>
      <c r="B997" s="274">
        <f>B$970</f>
        <v>0</v>
      </c>
      <c r="C997" s="265"/>
    </row>
    <row r="998" spans="1:3">
      <c r="A998" s="285" t="s">
        <v>97</v>
      </c>
      <c r="B998" s="274">
        <f>B$971</f>
        <v>2.1325787020283626</v>
      </c>
      <c r="C998" s="265"/>
    </row>
    <row r="999" spans="1:3">
      <c r="A999" s="285" t="s">
        <v>1176</v>
      </c>
      <c r="B999" s="267">
        <v>-1</v>
      </c>
      <c r="C999" s="265"/>
    </row>
    <row r="1000" spans="1:3">
      <c r="A1000" s="285" t="s">
        <v>62</v>
      </c>
      <c r="B1000" s="267">
        <v>-1</v>
      </c>
      <c r="C1000" s="265"/>
    </row>
    <row r="1001" spans="1:3">
      <c r="A1001" s="285" t="s">
        <v>63</v>
      </c>
      <c r="B1001" s="267">
        <v>-1</v>
      </c>
      <c r="C1001" s="265"/>
    </row>
    <row r="1002" spans="1:3">
      <c r="A1002" s="285" t="s">
        <v>1516</v>
      </c>
      <c r="B1002" s="267">
        <v>-1</v>
      </c>
      <c r="C1002" s="265"/>
    </row>
    <row r="1003" spans="1:3">
      <c r="A1003" s="285" t="s">
        <v>64</v>
      </c>
      <c r="B1003" s="267">
        <v>-1</v>
      </c>
      <c r="C1003" s="265"/>
    </row>
    <row r="1004" spans="1:3">
      <c r="A1004" s="285" t="s">
        <v>1517</v>
      </c>
      <c r="B1004" s="267">
        <v>-1</v>
      </c>
      <c r="C1004" s="265"/>
    </row>
    <row r="1005" spans="1:3">
      <c r="A1005" s="285" t="s">
        <v>65</v>
      </c>
      <c r="B1005" s="267">
        <v>-1</v>
      </c>
      <c r="C1005" s="265"/>
    </row>
    <row r="1006" spans="1:3">
      <c r="A1006" s="285" t="s">
        <v>1518</v>
      </c>
      <c r="B1006" s="267">
        <v>-1</v>
      </c>
      <c r="C1006" s="265"/>
    </row>
    <row r="1007" spans="1:3">
      <c r="A1007" s="285" t="s">
        <v>66</v>
      </c>
      <c r="B1007" s="267">
        <v>-1</v>
      </c>
      <c r="C1007" s="265"/>
    </row>
    <row r="1008" spans="1:3">
      <c r="A1008" s="285" t="s">
        <v>1519</v>
      </c>
      <c r="B1008" s="267">
        <v>-1</v>
      </c>
      <c r="C1008" s="265"/>
    </row>
    <row r="1009" spans="1:7">
      <c r="A1009" s="285" t="s">
        <v>74</v>
      </c>
      <c r="B1009" s="267">
        <v>-1</v>
      </c>
      <c r="C1009" s="265"/>
    </row>
    <row r="1010" spans="1:7">
      <c r="A1010" s="285" t="s">
        <v>1520</v>
      </c>
      <c r="B1010" s="267">
        <v>-1</v>
      </c>
      <c r="C1010" s="265"/>
    </row>
    <row r="1011" spans="1:7">
      <c r="A1011" s="285" t="s">
        <v>75</v>
      </c>
      <c r="B1011" s="267">
        <v>-1</v>
      </c>
      <c r="C1011" s="265"/>
    </row>
    <row r="1012" spans="1:7">
      <c r="A1012" s="285" t="s">
        <v>1521</v>
      </c>
      <c r="B1012" s="267">
        <v>-1</v>
      </c>
      <c r="C1012" s="265"/>
    </row>
    <row r="1014" spans="1:7" ht="21" customHeight="1">
      <c r="A1014" s="1" t="s">
        <v>363</v>
      </c>
    </row>
    <row r="1016" spans="1:7">
      <c r="B1016" s="284" t="s">
        <v>81</v>
      </c>
      <c r="C1016" s="284" t="s">
        <v>82</v>
      </c>
      <c r="D1016" s="284" t="s">
        <v>83</v>
      </c>
      <c r="E1016" s="284" t="s">
        <v>84</v>
      </c>
      <c r="F1016" s="284" t="s">
        <v>85</v>
      </c>
    </row>
    <row r="1017" spans="1:7">
      <c r="A1017" s="288" t="s">
        <v>108</v>
      </c>
      <c r="G1017" s="265"/>
    </row>
    <row r="1018" spans="1:7">
      <c r="A1018" s="285" t="s">
        <v>54</v>
      </c>
      <c r="B1018" s="272">
        <v>1</v>
      </c>
      <c r="C1018" s="272">
        <v>0</v>
      </c>
      <c r="D1018" s="272">
        <v>0</v>
      </c>
      <c r="E1018" s="272">
        <v>0</v>
      </c>
      <c r="F1018" s="272">
        <v>0</v>
      </c>
      <c r="G1018" s="265"/>
    </row>
    <row r="1019" spans="1:7">
      <c r="A1019" s="285" t="s">
        <v>109</v>
      </c>
      <c r="B1019" s="272">
        <v>0</v>
      </c>
      <c r="C1019" s="272">
        <v>1</v>
      </c>
      <c r="D1019" s="272">
        <v>0</v>
      </c>
      <c r="E1019" s="272">
        <v>0</v>
      </c>
      <c r="F1019" s="272">
        <v>0</v>
      </c>
      <c r="G1019" s="265"/>
    </row>
    <row r="1020" spans="1:7">
      <c r="A1020" s="285" t="s">
        <v>110</v>
      </c>
      <c r="B1020" s="272">
        <v>0</v>
      </c>
      <c r="C1020" s="272">
        <v>0</v>
      </c>
      <c r="D1020" s="272">
        <v>1</v>
      </c>
      <c r="E1020" s="272">
        <v>0</v>
      </c>
      <c r="F1020" s="272">
        <v>0</v>
      </c>
      <c r="G1020" s="265"/>
    </row>
    <row r="1021" spans="1:7">
      <c r="A1021" s="288" t="s">
        <v>111</v>
      </c>
      <c r="G1021" s="265"/>
    </row>
    <row r="1022" spans="1:7">
      <c r="A1022" s="285" t="s">
        <v>55</v>
      </c>
      <c r="B1022" s="272">
        <v>1</v>
      </c>
      <c r="C1022" s="272">
        <v>0</v>
      </c>
      <c r="D1022" s="272">
        <v>0</v>
      </c>
      <c r="E1022" s="272">
        <v>0</v>
      </c>
      <c r="F1022" s="272">
        <v>0</v>
      </c>
      <c r="G1022" s="265"/>
    </row>
    <row r="1023" spans="1:7">
      <c r="A1023" s="285" t="s">
        <v>112</v>
      </c>
      <c r="B1023" s="272">
        <v>0</v>
      </c>
      <c r="C1023" s="272">
        <v>1</v>
      </c>
      <c r="D1023" s="272">
        <v>0</v>
      </c>
      <c r="E1023" s="272">
        <v>0</v>
      </c>
      <c r="F1023" s="272">
        <v>0</v>
      </c>
      <c r="G1023" s="265"/>
    </row>
    <row r="1024" spans="1:7">
      <c r="A1024" s="285" t="s">
        <v>113</v>
      </c>
      <c r="B1024" s="272">
        <v>0</v>
      </c>
      <c r="C1024" s="272">
        <v>0</v>
      </c>
      <c r="D1024" s="272">
        <v>1</v>
      </c>
      <c r="E1024" s="272">
        <v>0</v>
      </c>
      <c r="F1024" s="272">
        <v>0</v>
      </c>
      <c r="G1024" s="265"/>
    </row>
    <row r="1025" spans="1:7">
      <c r="A1025" s="288" t="s">
        <v>114</v>
      </c>
      <c r="G1025" s="265"/>
    </row>
    <row r="1026" spans="1:7">
      <c r="A1026" s="285" t="s">
        <v>91</v>
      </c>
      <c r="B1026" s="272">
        <v>1</v>
      </c>
      <c r="C1026" s="272">
        <v>0</v>
      </c>
      <c r="D1026" s="272">
        <v>0</v>
      </c>
      <c r="E1026" s="272">
        <v>0</v>
      </c>
      <c r="F1026" s="272">
        <v>0</v>
      </c>
      <c r="G1026" s="265"/>
    </row>
    <row r="1027" spans="1:7">
      <c r="A1027" s="285" t="s">
        <v>115</v>
      </c>
      <c r="B1027" s="272">
        <v>0</v>
      </c>
      <c r="C1027" s="272">
        <v>1</v>
      </c>
      <c r="D1027" s="272">
        <v>0</v>
      </c>
      <c r="E1027" s="272">
        <v>0</v>
      </c>
      <c r="F1027" s="272">
        <v>0</v>
      </c>
      <c r="G1027" s="265"/>
    </row>
    <row r="1028" spans="1:7">
      <c r="A1028" s="285" t="s">
        <v>116</v>
      </c>
      <c r="B1028" s="272">
        <v>0</v>
      </c>
      <c r="C1028" s="272">
        <v>0</v>
      </c>
      <c r="D1028" s="272">
        <v>1</v>
      </c>
      <c r="E1028" s="272">
        <v>0</v>
      </c>
      <c r="F1028" s="272">
        <v>0</v>
      </c>
      <c r="G1028" s="265"/>
    </row>
    <row r="1029" spans="1:7">
      <c r="A1029" s="288" t="s">
        <v>117</v>
      </c>
      <c r="G1029" s="265"/>
    </row>
    <row r="1030" spans="1:7">
      <c r="A1030" s="285" t="s">
        <v>56</v>
      </c>
      <c r="B1030" s="272">
        <v>1</v>
      </c>
      <c r="C1030" s="272">
        <v>0</v>
      </c>
      <c r="D1030" s="272">
        <v>0</v>
      </c>
      <c r="E1030" s="272">
        <v>0</v>
      </c>
      <c r="F1030" s="272">
        <v>0</v>
      </c>
      <c r="G1030" s="265"/>
    </row>
    <row r="1031" spans="1:7">
      <c r="A1031" s="285" t="s">
        <v>118</v>
      </c>
      <c r="B1031" s="272">
        <v>0</v>
      </c>
      <c r="C1031" s="272">
        <v>1</v>
      </c>
      <c r="D1031" s="272">
        <v>0</v>
      </c>
      <c r="E1031" s="272">
        <v>0</v>
      </c>
      <c r="F1031" s="272">
        <v>0</v>
      </c>
      <c r="G1031" s="265"/>
    </row>
    <row r="1032" spans="1:7">
      <c r="A1032" s="285" t="s">
        <v>119</v>
      </c>
      <c r="B1032" s="272">
        <v>0</v>
      </c>
      <c r="C1032" s="272">
        <v>0</v>
      </c>
      <c r="D1032" s="272">
        <v>1</v>
      </c>
      <c r="E1032" s="272">
        <v>0</v>
      </c>
      <c r="F1032" s="272">
        <v>0</v>
      </c>
      <c r="G1032" s="265"/>
    </row>
    <row r="1033" spans="1:7">
      <c r="A1033" s="288" t="s">
        <v>120</v>
      </c>
      <c r="G1033" s="265"/>
    </row>
    <row r="1034" spans="1:7">
      <c r="A1034" s="285" t="s">
        <v>57</v>
      </c>
      <c r="B1034" s="272">
        <v>1</v>
      </c>
      <c r="C1034" s="272">
        <v>0</v>
      </c>
      <c r="D1034" s="272">
        <v>0</v>
      </c>
      <c r="E1034" s="272">
        <v>0</v>
      </c>
      <c r="F1034" s="272">
        <v>0</v>
      </c>
      <c r="G1034" s="265"/>
    </row>
    <row r="1035" spans="1:7">
      <c r="A1035" s="285" t="s">
        <v>121</v>
      </c>
      <c r="B1035" s="272">
        <v>0</v>
      </c>
      <c r="C1035" s="272">
        <v>1</v>
      </c>
      <c r="D1035" s="272">
        <v>0</v>
      </c>
      <c r="E1035" s="272">
        <v>0</v>
      </c>
      <c r="F1035" s="272">
        <v>0</v>
      </c>
      <c r="G1035" s="265"/>
    </row>
    <row r="1036" spans="1:7">
      <c r="A1036" s="285" t="s">
        <v>122</v>
      </c>
      <c r="B1036" s="272">
        <v>0</v>
      </c>
      <c r="C1036" s="272">
        <v>0</v>
      </c>
      <c r="D1036" s="272">
        <v>1</v>
      </c>
      <c r="E1036" s="272">
        <v>0</v>
      </c>
      <c r="F1036" s="272">
        <v>0</v>
      </c>
      <c r="G1036" s="265"/>
    </row>
    <row r="1037" spans="1:7">
      <c r="A1037" s="288" t="s">
        <v>123</v>
      </c>
      <c r="G1037" s="265"/>
    </row>
    <row r="1038" spans="1:7">
      <c r="A1038" s="285" t="s">
        <v>92</v>
      </c>
      <c r="B1038" s="272">
        <v>1</v>
      </c>
      <c r="C1038" s="272">
        <v>0</v>
      </c>
      <c r="D1038" s="272">
        <v>0</v>
      </c>
      <c r="E1038" s="272">
        <v>0</v>
      </c>
      <c r="F1038" s="272">
        <v>0</v>
      </c>
      <c r="G1038" s="265"/>
    </row>
    <row r="1039" spans="1:7" ht="30">
      <c r="A1039" s="285" t="s">
        <v>124</v>
      </c>
      <c r="B1039" s="272">
        <v>0</v>
      </c>
      <c r="C1039" s="272">
        <v>1</v>
      </c>
      <c r="D1039" s="272">
        <v>0</v>
      </c>
      <c r="E1039" s="272">
        <v>0</v>
      </c>
      <c r="F1039" s="272">
        <v>0</v>
      </c>
      <c r="G1039" s="265"/>
    </row>
    <row r="1040" spans="1:7" ht="30">
      <c r="A1040" s="285" t="s">
        <v>125</v>
      </c>
      <c r="B1040" s="272">
        <v>0</v>
      </c>
      <c r="C1040" s="272">
        <v>0</v>
      </c>
      <c r="D1040" s="272">
        <v>1</v>
      </c>
      <c r="E1040" s="272">
        <v>0</v>
      </c>
      <c r="F1040" s="272">
        <v>0</v>
      </c>
      <c r="G1040" s="265"/>
    </row>
    <row r="1041" spans="1:7">
      <c r="A1041" s="288" t="s">
        <v>126</v>
      </c>
      <c r="G1041" s="265"/>
    </row>
    <row r="1042" spans="1:7">
      <c r="A1042" s="285" t="s">
        <v>58</v>
      </c>
      <c r="B1042" s="272">
        <v>1</v>
      </c>
      <c r="C1042" s="272">
        <v>0</v>
      </c>
      <c r="D1042" s="272">
        <v>0</v>
      </c>
      <c r="E1042" s="272">
        <v>0</v>
      </c>
      <c r="F1042" s="272">
        <v>0</v>
      </c>
      <c r="G1042" s="265"/>
    </row>
    <row r="1043" spans="1:7">
      <c r="A1043" s="285" t="s">
        <v>127</v>
      </c>
      <c r="B1043" s="272">
        <v>0</v>
      </c>
      <c r="C1043" s="272">
        <v>1</v>
      </c>
      <c r="D1043" s="272">
        <v>0</v>
      </c>
      <c r="E1043" s="272">
        <v>0</v>
      </c>
      <c r="F1043" s="272">
        <v>0</v>
      </c>
      <c r="G1043" s="265"/>
    </row>
    <row r="1044" spans="1:7">
      <c r="A1044" s="285" t="s">
        <v>128</v>
      </c>
      <c r="B1044" s="272">
        <v>0</v>
      </c>
      <c r="C1044" s="272">
        <v>0</v>
      </c>
      <c r="D1044" s="272">
        <v>1</v>
      </c>
      <c r="E1044" s="272">
        <v>0</v>
      </c>
      <c r="F1044" s="272">
        <v>0</v>
      </c>
      <c r="G1044" s="265"/>
    </row>
    <row r="1045" spans="1:7">
      <c r="A1045" s="288" t="s">
        <v>129</v>
      </c>
      <c r="G1045" s="265"/>
    </row>
    <row r="1046" spans="1:7">
      <c r="A1046" s="285" t="s">
        <v>59</v>
      </c>
      <c r="B1046" s="272">
        <v>1</v>
      </c>
      <c r="C1046" s="272">
        <v>0</v>
      </c>
      <c r="D1046" s="272">
        <v>0</v>
      </c>
      <c r="E1046" s="272">
        <v>0</v>
      </c>
      <c r="F1046" s="272">
        <v>0</v>
      </c>
      <c r="G1046" s="265"/>
    </row>
    <row r="1047" spans="1:7">
      <c r="A1047" s="288" t="s">
        <v>130</v>
      </c>
      <c r="G1047" s="265"/>
    </row>
    <row r="1048" spans="1:7">
      <c r="A1048" s="285" t="s">
        <v>72</v>
      </c>
      <c r="B1048" s="272">
        <v>1</v>
      </c>
      <c r="C1048" s="272">
        <v>0</v>
      </c>
      <c r="D1048" s="272">
        <v>0</v>
      </c>
      <c r="E1048" s="272">
        <v>0</v>
      </c>
      <c r="F1048" s="272">
        <v>0</v>
      </c>
      <c r="G1048" s="265"/>
    </row>
    <row r="1049" spans="1:7">
      <c r="A1049" s="288" t="s">
        <v>1181</v>
      </c>
      <c r="G1049" s="265"/>
    </row>
    <row r="1050" spans="1:7">
      <c r="A1050" s="285" t="s">
        <v>1178</v>
      </c>
      <c r="B1050" s="272">
        <v>1</v>
      </c>
      <c r="C1050" s="272">
        <v>0</v>
      </c>
      <c r="D1050" s="272">
        <v>0</v>
      </c>
      <c r="E1050" s="272">
        <v>0</v>
      </c>
      <c r="F1050" s="272">
        <v>0</v>
      </c>
      <c r="G1050" s="265"/>
    </row>
    <row r="1051" spans="1:7">
      <c r="A1051" s="285" t="s">
        <v>1175</v>
      </c>
      <c r="B1051" s="272">
        <v>0</v>
      </c>
      <c r="C1051" s="272">
        <v>1</v>
      </c>
      <c r="D1051" s="272">
        <v>0</v>
      </c>
      <c r="E1051" s="272">
        <v>0</v>
      </c>
      <c r="F1051" s="272">
        <v>0</v>
      </c>
      <c r="G1051" s="265"/>
    </row>
    <row r="1052" spans="1:7">
      <c r="A1052" s="285" t="s">
        <v>1172</v>
      </c>
      <c r="B1052" s="272">
        <v>0</v>
      </c>
      <c r="C1052" s="272">
        <v>0</v>
      </c>
      <c r="D1052" s="272">
        <v>1</v>
      </c>
      <c r="E1052" s="272">
        <v>0</v>
      </c>
      <c r="F1052" s="272">
        <v>0</v>
      </c>
      <c r="G1052" s="265"/>
    </row>
    <row r="1053" spans="1:7">
      <c r="A1053" s="288" t="s">
        <v>1180</v>
      </c>
      <c r="G1053" s="265"/>
    </row>
    <row r="1054" spans="1:7">
      <c r="A1054" s="285" t="s">
        <v>1177</v>
      </c>
      <c r="B1054" s="272">
        <v>1</v>
      </c>
      <c r="C1054" s="272">
        <v>0</v>
      </c>
      <c r="D1054" s="272">
        <v>0</v>
      </c>
      <c r="E1054" s="272">
        <v>0</v>
      </c>
      <c r="F1054" s="272">
        <v>0</v>
      </c>
      <c r="G1054" s="265"/>
    </row>
    <row r="1055" spans="1:7">
      <c r="A1055" s="285" t="s">
        <v>1174</v>
      </c>
      <c r="B1055" s="272">
        <v>0</v>
      </c>
      <c r="C1055" s="272">
        <v>1</v>
      </c>
      <c r="D1055" s="272">
        <v>0</v>
      </c>
      <c r="E1055" s="272">
        <v>0</v>
      </c>
      <c r="F1055" s="272">
        <v>0</v>
      </c>
      <c r="G1055" s="265"/>
    </row>
    <row r="1056" spans="1:7">
      <c r="A1056" s="285" t="s">
        <v>1171</v>
      </c>
      <c r="B1056" s="272">
        <v>0</v>
      </c>
      <c r="C1056" s="272">
        <v>0</v>
      </c>
      <c r="D1056" s="272">
        <v>1</v>
      </c>
      <c r="E1056" s="272">
        <v>0</v>
      </c>
      <c r="F1056" s="272">
        <v>0</v>
      </c>
      <c r="G1056" s="265"/>
    </row>
    <row r="1057" spans="1:7">
      <c r="A1057" s="288" t="s">
        <v>131</v>
      </c>
      <c r="G1057" s="265"/>
    </row>
    <row r="1058" spans="1:7">
      <c r="A1058" s="285" t="s">
        <v>60</v>
      </c>
      <c r="B1058" s="272">
        <v>1</v>
      </c>
      <c r="C1058" s="272">
        <v>0</v>
      </c>
      <c r="D1058" s="272">
        <v>0</v>
      </c>
      <c r="E1058" s="272">
        <v>0</v>
      </c>
      <c r="F1058" s="272">
        <v>0</v>
      </c>
      <c r="G1058" s="265"/>
    </row>
    <row r="1059" spans="1:7">
      <c r="A1059" s="285" t="s">
        <v>132</v>
      </c>
      <c r="B1059" s="272">
        <v>0</v>
      </c>
      <c r="C1059" s="272">
        <v>1</v>
      </c>
      <c r="D1059" s="272">
        <v>0</v>
      </c>
      <c r="E1059" s="272">
        <v>0</v>
      </c>
      <c r="F1059" s="272">
        <v>0</v>
      </c>
      <c r="G1059" s="265"/>
    </row>
    <row r="1060" spans="1:7">
      <c r="A1060" s="285" t="s">
        <v>133</v>
      </c>
      <c r="B1060" s="272">
        <v>0</v>
      </c>
      <c r="C1060" s="272">
        <v>0</v>
      </c>
      <c r="D1060" s="272">
        <v>1</v>
      </c>
      <c r="E1060" s="272">
        <v>0</v>
      </c>
      <c r="F1060" s="272">
        <v>0</v>
      </c>
      <c r="G1060" s="265"/>
    </row>
    <row r="1061" spans="1:7">
      <c r="A1061" s="288" t="s">
        <v>134</v>
      </c>
      <c r="G1061" s="265"/>
    </row>
    <row r="1062" spans="1:7">
      <c r="A1062" s="285" t="s">
        <v>61</v>
      </c>
      <c r="B1062" s="272">
        <v>1</v>
      </c>
      <c r="C1062" s="272">
        <v>0</v>
      </c>
      <c r="D1062" s="272">
        <v>0</v>
      </c>
      <c r="E1062" s="272">
        <v>0</v>
      </c>
      <c r="F1062" s="272">
        <v>0</v>
      </c>
      <c r="G1062" s="265"/>
    </row>
    <row r="1063" spans="1:7">
      <c r="A1063" s="285" t="s">
        <v>135</v>
      </c>
      <c r="B1063" s="272">
        <v>0</v>
      </c>
      <c r="C1063" s="272">
        <v>0</v>
      </c>
      <c r="D1063" s="272">
        <v>0</v>
      </c>
      <c r="E1063" s="272">
        <v>1</v>
      </c>
      <c r="F1063" s="272">
        <v>0</v>
      </c>
      <c r="G1063" s="265"/>
    </row>
    <row r="1064" spans="1:7">
      <c r="A1064" s="288" t="s">
        <v>136</v>
      </c>
      <c r="G1064" s="265"/>
    </row>
    <row r="1065" spans="1:7">
      <c r="A1065" s="285" t="s">
        <v>73</v>
      </c>
      <c r="B1065" s="272">
        <v>1</v>
      </c>
      <c r="C1065" s="272">
        <v>0</v>
      </c>
      <c r="D1065" s="272">
        <v>0</v>
      </c>
      <c r="E1065" s="272">
        <v>0</v>
      </c>
      <c r="F1065" s="272">
        <v>0</v>
      </c>
      <c r="G1065" s="265"/>
    </row>
    <row r="1066" spans="1:7">
      <c r="A1066" s="285" t="s">
        <v>137</v>
      </c>
      <c r="B1066" s="272">
        <v>0</v>
      </c>
      <c r="C1066" s="272">
        <v>0</v>
      </c>
      <c r="D1066" s="272">
        <v>0</v>
      </c>
      <c r="E1066" s="272">
        <v>0</v>
      </c>
      <c r="F1066" s="272">
        <v>1</v>
      </c>
      <c r="G1066" s="265"/>
    </row>
    <row r="1067" spans="1:7">
      <c r="A1067" s="288" t="s">
        <v>138</v>
      </c>
      <c r="G1067" s="265"/>
    </row>
    <row r="1068" spans="1:7">
      <c r="A1068" s="285" t="s">
        <v>93</v>
      </c>
      <c r="B1068" s="272">
        <v>1</v>
      </c>
      <c r="C1068" s="272">
        <v>0</v>
      </c>
      <c r="D1068" s="272">
        <v>0</v>
      </c>
      <c r="E1068" s="272">
        <v>0</v>
      </c>
      <c r="F1068" s="272">
        <v>0</v>
      </c>
      <c r="G1068" s="265"/>
    </row>
    <row r="1069" spans="1:7">
      <c r="A1069" s="285" t="s">
        <v>139</v>
      </c>
      <c r="B1069" s="272">
        <v>0</v>
      </c>
      <c r="C1069" s="272">
        <v>1</v>
      </c>
      <c r="D1069" s="272">
        <v>0</v>
      </c>
      <c r="E1069" s="272">
        <v>0</v>
      </c>
      <c r="F1069" s="272">
        <v>0</v>
      </c>
      <c r="G1069" s="265"/>
    </row>
    <row r="1070" spans="1:7">
      <c r="A1070" s="285" t="s">
        <v>140</v>
      </c>
      <c r="B1070" s="272">
        <v>0</v>
      </c>
      <c r="C1070" s="272">
        <v>0</v>
      </c>
      <c r="D1070" s="272">
        <v>1</v>
      </c>
      <c r="E1070" s="272">
        <v>0</v>
      </c>
      <c r="F1070" s="272">
        <v>0</v>
      </c>
      <c r="G1070" s="265"/>
    </row>
    <row r="1071" spans="1:7">
      <c r="A1071" s="288" t="s">
        <v>141</v>
      </c>
      <c r="G1071" s="265"/>
    </row>
    <row r="1072" spans="1:7">
      <c r="A1072" s="285" t="s">
        <v>94</v>
      </c>
      <c r="B1072" s="272">
        <v>1</v>
      </c>
      <c r="C1072" s="272">
        <v>0</v>
      </c>
      <c r="D1072" s="272">
        <v>0</v>
      </c>
      <c r="E1072" s="272">
        <v>0</v>
      </c>
      <c r="F1072" s="272">
        <v>0</v>
      </c>
      <c r="G1072" s="265"/>
    </row>
    <row r="1073" spans="1:7">
      <c r="A1073" s="285" t="s">
        <v>142</v>
      </c>
      <c r="B1073" s="272">
        <v>0</v>
      </c>
      <c r="C1073" s="272">
        <v>1</v>
      </c>
      <c r="D1073" s="272">
        <v>0</v>
      </c>
      <c r="E1073" s="272">
        <v>0</v>
      </c>
      <c r="F1073" s="272">
        <v>0</v>
      </c>
      <c r="G1073" s="265"/>
    </row>
    <row r="1074" spans="1:7">
      <c r="A1074" s="285" t="s">
        <v>143</v>
      </c>
      <c r="B1074" s="272">
        <v>0</v>
      </c>
      <c r="C1074" s="272">
        <v>0</v>
      </c>
      <c r="D1074" s="272">
        <v>1</v>
      </c>
      <c r="E1074" s="272">
        <v>0</v>
      </c>
      <c r="F1074" s="272">
        <v>0</v>
      </c>
      <c r="G1074" s="265"/>
    </row>
    <row r="1075" spans="1:7">
      <c r="A1075" s="288" t="s">
        <v>144</v>
      </c>
      <c r="G1075" s="265"/>
    </row>
    <row r="1076" spans="1:7">
      <c r="A1076" s="285" t="s">
        <v>95</v>
      </c>
      <c r="B1076" s="272">
        <v>1</v>
      </c>
      <c r="C1076" s="272">
        <v>0</v>
      </c>
      <c r="D1076" s="272">
        <v>0</v>
      </c>
      <c r="E1076" s="272">
        <v>0</v>
      </c>
      <c r="F1076" s="272">
        <v>0</v>
      </c>
      <c r="G1076" s="265"/>
    </row>
    <row r="1077" spans="1:7">
      <c r="A1077" s="285" t="s">
        <v>145</v>
      </c>
      <c r="B1077" s="272">
        <v>0</v>
      </c>
      <c r="C1077" s="272">
        <v>1</v>
      </c>
      <c r="D1077" s="272">
        <v>0</v>
      </c>
      <c r="E1077" s="272">
        <v>0</v>
      </c>
      <c r="F1077" s="272">
        <v>0</v>
      </c>
      <c r="G1077" s="265"/>
    </row>
    <row r="1078" spans="1:7">
      <c r="A1078" s="285" t="s">
        <v>146</v>
      </c>
      <c r="B1078" s="272">
        <v>0</v>
      </c>
      <c r="C1078" s="272">
        <v>0</v>
      </c>
      <c r="D1078" s="272">
        <v>1</v>
      </c>
      <c r="E1078" s="272">
        <v>0</v>
      </c>
      <c r="F1078" s="272">
        <v>0</v>
      </c>
      <c r="G1078" s="265"/>
    </row>
    <row r="1079" spans="1:7">
      <c r="A1079" s="288" t="s">
        <v>147</v>
      </c>
      <c r="G1079" s="265"/>
    </row>
    <row r="1080" spans="1:7">
      <c r="A1080" s="285" t="s">
        <v>96</v>
      </c>
      <c r="B1080" s="272">
        <v>1</v>
      </c>
      <c r="C1080" s="272">
        <v>0</v>
      </c>
      <c r="D1080" s="272">
        <v>0</v>
      </c>
      <c r="E1080" s="272">
        <v>0</v>
      </c>
      <c r="F1080" s="272">
        <v>0</v>
      </c>
      <c r="G1080" s="265"/>
    </row>
    <row r="1081" spans="1:7">
      <c r="A1081" s="285" t="s">
        <v>148</v>
      </c>
      <c r="B1081" s="272">
        <v>0</v>
      </c>
      <c r="C1081" s="272">
        <v>1</v>
      </c>
      <c r="D1081" s="272">
        <v>0</v>
      </c>
      <c r="E1081" s="272">
        <v>0</v>
      </c>
      <c r="F1081" s="272">
        <v>0</v>
      </c>
      <c r="G1081" s="265"/>
    </row>
    <row r="1082" spans="1:7">
      <c r="A1082" s="285" t="s">
        <v>149</v>
      </c>
      <c r="B1082" s="272">
        <v>0</v>
      </c>
      <c r="C1082" s="272">
        <v>0</v>
      </c>
      <c r="D1082" s="272">
        <v>1</v>
      </c>
      <c r="E1082" s="272">
        <v>0</v>
      </c>
      <c r="F1082" s="272">
        <v>0</v>
      </c>
      <c r="G1082" s="265"/>
    </row>
    <row r="1083" spans="1:7">
      <c r="A1083" s="288" t="s">
        <v>150</v>
      </c>
      <c r="G1083" s="265"/>
    </row>
    <row r="1084" spans="1:7">
      <c r="A1084" s="285" t="s">
        <v>97</v>
      </c>
      <c r="B1084" s="272">
        <v>1</v>
      </c>
      <c r="C1084" s="272">
        <v>0</v>
      </c>
      <c r="D1084" s="272">
        <v>0</v>
      </c>
      <c r="E1084" s="272">
        <v>0</v>
      </c>
      <c r="F1084" s="272">
        <v>0</v>
      </c>
      <c r="G1084" s="265"/>
    </row>
    <row r="1085" spans="1:7">
      <c r="A1085" s="285" t="s">
        <v>151</v>
      </c>
      <c r="B1085" s="272">
        <v>0</v>
      </c>
      <c r="C1085" s="272">
        <v>1</v>
      </c>
      <c r="D1085" s="272">
        <v>0</v>
      </c>
      <c r="E1085" s="272">
        <v>0</v>
      </c>
      <c r="F1085" s="272">
        <v>0</v>
      </c>
      <c r="G1085" s="265"/>
    </row>
    <row r="1086" spans="1:7">
      <c r="A1086" s="285" t="s">
        <v>152</v>
      </c>
      <c r="B1086" s="272">
        <v>0</v>
      </c>
      <c r="C1086" s="272">
        <v>0</v>
      </c>
      <c r="D1086" s="272">
        <v>1</v>
      </c>
      <c r="E1086" s="272">
        <v>0</v>
      </c>
      <c r="F1086" s="272">
        <v>0</v>
      </c>
      <c r="G1086" s="265"/>
    </row>
    <row r="1087" spans="1:7">
      <c r="A1087" s="288" t="s">
        <v>1179</v>
      </c>
      <c r="G1087" s="265"/>
    </row>
    <row r="1088" spans="1:7">
      <c r="A1088" s="285" t="s">
        <v>1176</v>
      </c>
      <c r="B1088" s="272">
        <v>1</v>
      </c>
      <c r="C1088" s="272">
        <v>0</v>
      </c>
      <c r="D1088" s="272">
        <v>0</v>
      </c>
      <c r="E1088" s="272">
        <v>0</v>
      </c>
      <c r="F1088" s="272">
        <v>0</v>
      </c>
      <c r="G1088" s="265"/>
    </row>
    <row r="1089" spans="1:7">
      <c r="A1089" s="285" t="s">
        <v>1173</v>
      </c>
      <c r="B1089" s="272">
        <v>1</v>
      </c>
      <c r="C1089" s="272">
        <v>0</v>
      </c>
      <c r="D1089" s="272">
        <v>0</v>
      </c>
      <c r="E1089" s="272">
        <v>0</v>
      </c>
      <c r="F1089" s="272">
        <v>0</v>
      </c>
      <c r="G1089" s="265"/>
    </row>
    <row r="1090" spans="1:7">
      <c r="A1090" s="285" t="s">
        <v>1170</v>
      </c>
      <c r="B1090" s="272">
        <v>1</v>
      </c>
      <c r="C1090" s="272">
        <v>0</v>
      </c>
      <c r="D1090" s="272">
        <v>0</v>
      </c>
      <c r="E1090" s="272">
        <v>0</v>
      </c>
      <c r="F1090" s="272">
        <v>0</v>
      </c>
      <c r="G1090" s="265"/>
    </row>
    <row r="1091" spans="1:7">
      <c r="A1091" s="288" t="s">
        <v>153</v>
      </c>
      <c r="G1091" s="265"/>
    </row>
    <row r="1092" spans="1:7">
      <c r="A1092" s="285" t="s">
        <v>62</v>
      </c>
      <c r="B1092" s="272">
        <v>1</v>
      </c>
      <c r="C1092" s="272">
        <v>0</v>
      </c>
      <c r="D1092" s="272">
        <v>0</v>
      </c>
      <c r="E1092" s="272">
        <v>0</v>
      </c>
      <c r="F1092" s="272">
        <v>0</v>
      </c>
      <c r="G1092" s="265"/>
    </row>
    <row r="1093" spans="1:7">
      <c r="A1093" s="285" t="s">
        <v>154</v>
      </c>
      <c r="B1093" s="272">
        <v>1</v>
      </c>
      <c r="C1093" s="272">
        <v>0</v>
      </c>
      <c r="D1093" s="272">
        <v>0</v>
      </c>
      <c r="E1093" s="272">
        <v>0</v>
      </c>
      <c r="F1093" s="272">
        <v>0</v>
      </c>
      <c r="G1093" s="265"/>
    </row>
    <row r="1094" spans="1:7">
      <c r="A1094" s="288" t="s">
        <v>155</v>
      </c>
      <c r="G1094" s="265"/>
    </row>
    <row r="1095" spans="1:7">
      <c r="A1095" s="285" t="s">
        <v>63</v>
      </c>
      <c r="B1095" s="272">
        <v>1</v>
      </c>
      <c r="C1095" s="272">
        <v>0</v>
      </c>
      <c r="D1095" s="272">
        <v>0</v>
      </c>
      <c r="E1095" s="272">
        <v>0</v>
      </c>
      <c r="F1095" s="272">
        <v>0</v>
      </c>
      <c r="G1095" s="265"/>
    </row>
    <row r="1096" spans="1:7">
      <c r="A1096" s="285" t="s">
        <v>156</v>
      </c>
      <c r="B1096" s="272">
        <v>1</v>
      </c>
      <c r="C1096" s="272">
        <v>0</v>
      </c>
      <c r="D1096" s="272">
        <v>0</v>
      </c>
      <c r="E1096" s="272">
        <v>0</v>
      </c>
      <c r="F1096" s="272">
        <v>0</v>
      </c>
      <c r="G1096" s="265"/>
    </row>
    <row r="1097" spans="1:7">
      <c r="A1097" s="285" t="s">
        <v>157</v>
      </c>
      <c r="B1097" s="272">
        <v>1</v>
      </c>
      <c r="C1097" s="272">
        <v>0</v>
      </c>
      <c r="D1097" s="272">
        <v>0</v>
      </c>
      <c r="E1097" s="272">
        <v>0</v>
      </c>
      <c r="F1097" s="272">
        <v>0</v>
      </c>
      <c r="G1097" s="265"/>
    </row>
    <row r="1098" spans="1:7">
      <c r="A1098" s="288" t="s">
        <v>1559</v>
      </c>
      <c r="G1098" s="265"/>
    </row>
    <row r="1099" spans="1:7">
      <c r="A1099" s="285" t="s">
        <v>1516</v>
      </c>
      <c r="B1099" s="272">
        <v>1</v>
      </c>
      <c r="C1099" s="272">
        <v>0</v>
      </c>
      <c r="D1099" s="272">
        <v>0</v>
      </c>
      <c r="E1099" s="272">
        <v>0</v>
      </c>
      <c r="F1099" s="272">
        <v>0</v>
      </c>
      <c r="G1099" s="265"/>
    </row>
    <row r="1100" spans="1:7">
      <c r="A1100" s="288" t="s">
        <v>158</v>
      </c>
      <c r="G1100" s="265"/>
    </row>
    <row r="1101" spans="1:7">
      <c r="A1101" s="285" t="s">
        <v>64</v>
      </c>
      <c r="B1101" s="272">
        <v>1</v>
      </c>
      <c r="C1101" s="272">
        <v>0</v>
      </c>
      <c r="D1101" s="272">
        <v>0</v>
      </c>
      <c r="E1101" s="272">
        <v>0</v>
      </c>
      <c r="F1101" s="272">
        <v>0</v>
      </c>
      <c r="G1101" s="265"/>
    </row>
    <row r="1102" spans="1:7">
      <c r="A1102" s="285" t="s">
        <v>159</v>
      </c>
      <c r="B1102" s="272">
        <v>1</v>
      </c>
      <c r="C1102" s="272">
        <v>0</v>
      </c>
      <c r="D1102" s="272">
        <v>0</v>
      </c>
      <c r="E1102" s="272">
        <v>0</v>
      </c>
      <c r="F1102" s="272">
        <v>0</v>
      </c>
      <c r="G1102" s="265"/>
    </row>
    <row r="1103" spans="1:7">
      <c r="A1103" s="285" t="s">
        <v>160</v>
      </c>
      <c r="B1103" s="272">
        <v>1</v>
      </c>
      <c r="C1103" s="272">
        <v>0</v>
      </c>
      <c r="D1103" s="272">
        <v>0</v>
      </c>
      <c r="E1103" s="272">
        <v>0</v>
      </c>
      <c r="F1103" s="272">
        <v>0</v>
      </c>
      <c r="G1103" s="265"/>
    </row>
    <row r="1104" spans="1:7">
      <c r="A1104" s="288" t="s">
        <v>1560</v>
      </c>
      <c r="G1104" s="265"/>
    </row>
    <row r="1105" spans="1:7">
      <c r="A1105" s="285" t="s">
        <v>1517</v>
      </c>
      <c r="B1105" s="272">
        <v>1</v>
      </c>
      <c r="C1105" s="272">
        <v>0</v>
      </c>
      <c r="D1105" s="272">
        <v>0</v>
      </c>
      <c r="E1105" s="272">
        <v>0</v>
      </c>
      <c r="F1105" s="272">
        <v>0</v>
      </c>
      <c r="G1105" s="265"/>
    </row>
    <row r="1106" spans="1:7">
      <c r="A1106" s="288" t="s">
        <v>161</v>
      </c>
      <c r="G1106" s="265"/>
    </row>
    <row r="1107" spans="1:7">
      <c r="A1107" s="285" t="s">
        <v>65</v>
      </c>
      <c r="B1107" s="272">
        <v>1</v>
      </c>
      <c r="C1107" s="272">
        <v>0</v>
      </c>
      <c r="D1107" s="272">
        <v>0</v>
      </c>
      <c r="E1107" s="272">
        <v>0</v>
      </c>
      <c r="F1107" s="272">
        <v>0</v>
      </c>
      <c r="G1107" s="265"/>
    </row>
    <row r="1108" spans="1:7">
      <c r="A1108" s="285" t="s">
        <v>162</v>
      </c>
      <c r="B1108" s="272">
        <v>1</v>
      </c>
      <c r="C1108" s="272">
        <v>0</v>
      </c>
      <c r="D1108" s="272">
        <v>0</v>
      </c>
      <c r="E1108" s="272">
        <v>0</v>
      </c>
      <c r="F1108" s="272">
        <v>0</v>
      </c>
      <c r="G1108" s="265"/>
    </row>
    <row r="1109" spans="1:7">
      <c r="A1109" s="288" t="s">
        <v>1561</v>
      </c>
      <c r="G1109" s="265"/>
    </row>
    <row r="1110" spans="1:7">
      <c r="A1110" s="285" t="s">
        <v>1518</v>
      </c>
      <c r="B1110" s="272">
        <v>1</v>
      </c>
      <c r="C1110" s="272">
        <v>0</v>
      </c>
      <c r="D1110" s="272">
        <v>0</v>
      </c>
      <c r="E1110" s="272">
        <v>0</v>
      </c>
      <c r="F1110" s="272">
        <v>0</v>
      </c>
      <c r="G1110" s="265"/>
    </row>
    <row r="1111" spans="1:7">
      <c r="A1111" s="288" t="s">
        <v>163</v>
      </c>
      <c r="G1111" s="265"/>
    </row>
    <row r="1112" spans="1:7">
      <c r="A1112" s="285" t="s">
        <v>66</v>
      </c>
      <c r="B1112" s="272">
        <v>1</v>
      </c>
      <c r="C1112" s="272">
        <v>0</v>
      </c>
      <c r="D1112" s="272">
        <v>0</v>
      </c>
      <c r="E1112" s="272">
        <v>0</v>
      </c>
      <c r="F1112" s="272">
        <v>0</v>
      </c>
      <c r="G1112" s="265"/>
    </row>
    <row r="1113" spans="1:7">
      <c r="A1113" s="285" t="s">
        <v>164</v>
      </c>
      <c r="B1113" s="272">
        <v>1</v>
      </c>
      <c r="C1113" s="272">
        <v>0</v>
      </c>
      <c r="D1113" s="272">
        <v>0</v>
      </c>
      <c r="E1113" s="272">
        <v>0</v>
      </c>
      <c r="F1113" s="272">
        <v>0</v>
      </c>
      <c r="G1113" s="265"/>
    </row>
    <row r="1114" spans="1:7">
      <c r="A1114" s="288" t="s">
        <v>1562</v>
      </c>
      <c r="G1114" s="265"/>
    </row>
    <row r="1115" spans="1:7">
      <c r="A1115" s="285" t="s">
        <v>1519</v>
      </c>
      <c r="B1115" s="272">
        <v>1</v>
      </c>
      <c r="C1115" s="272">
        <v>0</v>
      </c>
      <c r="D1115" s="272">
        <v>0</v>
      </c>
      <c r="E1115" s="272">
        <v>0</v>
      </c>
      <c r="F1115" s="272">
        <v>0</v>
      </c>
      <c r="G1115" s="265"/>
    </row>
    <row r="1116" spans="1:7">
      <c r="A1116" s="288" t="s">
        <v>165</v>
      </c>
      <c r="G1116" s="265"/>
    </row>
    <row r="1117" spans="1:7">
      <c r="A1117" s="285" t="s">
        <v>74</v>
      </c>
      <c r="B1117" s="272">
        <v>1</v>
      </c>
      <c r="C1117" s="272">
        <v>0</v>
      </c>
      <c r="D1117" s="272">
        <v>0</v>
      </c>
      <c r="E1117" s="272">
        <v>0</v>
      </c>
      <c r="F1117" s="272">
        <v>0</v>
      </c>
      <c r="G1117" s="265"/>
    </row>
    <row r="1118" spans="1:7">
      <c r="A1118" s="285" t="s">
        <v>166</v>
      </c>
      <c r="B1118" s="272">
        <v>1</v>
      </c>
      <c r="C1118" s="272">
        <v>0</v>
      </c>
      <c r="D1118" s="272">
        <v>0</v>
      </c>
      <c r="E1118" s="272">
        <v>0</v>
      </c>
      <c r="F1118" s="272">
        <v>0</v>
      </c>
      <c r="G1118" s="265"/>
    </row>
    <row r="1119" spans="1:7">
      <c r="A1119" s="288" t="s">
        <v>1563</v>
      </c>
      <c r="G1119" s="265"/>
    </row>
    <row r="1120" spans="1:7">
      <c r="A1120" s="285" t="s">
        <v>1520</v>
      </c>
      <c r="B1120" s="272">
        <v>1</v>
      </c>
      <c r="C1120" s="272">
        <v>0</v>
      </c>
      <c r="D1120" s="272">
        <v>0</v>
      </c>
      <c r="E1120" s="272">
        <v>0</v>
      </c>
      <c r="F1120" s="272">
        <v>0</v>
      </c>
      <c r="G1120" s="265"/>
    </row>
    <row r="1121" spans="1:7">
      <c r="A1121" s="288" t="s">
        <v>167</v>
      </c>
      <c r="G1121" s="265"/>
    </row>
    <row r="1122" spans="1:7">
      <c r="A1122" s="285" t="s">
        <v>75</v>
      </c>
      <c r="B1122" s="272">
        <v>1</v>
      </c>
      <c r="C1122" s="272">
        <v>0</v>
      </c>
      <c r="D1122" s="272">
        <v>0</v>
      </c>
      <c r="E1122" s="272">
        <v>0</v>
      </c>
      <c r="F1122" s="272">
        <v>0</v>
      </c>
      <c r="G1122" s="265"/>
    </row>
    <row r="1123" spans="1:7">
      <c r="A1123" s="285" t="s">
        <v>168</v>
      </c>
      <c r="B1123" s="272">
        <v>1</v>
      </c>
      <c r="C1123" s="272">
        <v>0</v>
      </c>
      <c r="D1123" s="272">
        <v>0</v>
      </c>
      <c r="E1123" s="272">
        <v>0</v>
      </c>
      <c r="F1123" s="272">
        <v>0</v>
      </c>
      <c r="G1123" s="265"/>
    </row>
    <row r="1124" spans="1:7">
      <c r="A1124" s="288" t="s">
        <v>1564</v>
      </c>
      <c r="G1124" s="265"/>
    </row>
    <row r="1125" spans="1:7">
      <c r="A1125" s="285" t="s">
        <v>1521</v>
      </c>
      <c r="B1125" s="272">
        <v>1</v>
      </c>
      <c r="C1125" s="272">
        <v>0</v>
      </c>
      <c r="D1125" s="272">
        <v>0</v>
      </c>
      <c r="E1125" s="272">
        <v>0</v>
      </c>
      <c r="F1125" s="272">
        <v>0</v>
      </c>
      <c r="G1125" s="265"/>
    </row>
    <row r="1127" spans="1:7" ht="21" customHeight="1">
      <c r="A1127" s="1" t="s">
        <v>364</v>
      </c>
    </row>
    <row r="1128" spans="1:7">
      <c r="A1128" s="264" t="s">
        <v>217</v>
      </c>
    </row>
    <row r="1129" spans="1:7">
      <c r="A1129" s="269" t="s">
        <v>365</v>
      </c>
    </row>
    <row r="1130" spans="1:7">
      <c r="A1130" s="269" t="s">
        <v>366</v>
      </c>
    </row>
    <row r="1131" spans="1:7">
      <c r="A1131" s="264" t="s">
        <v>367</v>
      </c>
    </row>
    <row r="1132" spans="1:7">
      <c r="A1132" s="269" t="s">
        <v>368</v>
      </c>
    </row>
    <row r="1133" spans="1:7">
      <c r="A1133" s="269" t="s">
        <v>369</v>
      </c>
    </row>
    <row r="1134" spans="1:7">
      <c r="A1134" s="269" t="s">
        <v>370</v>
      </c>
    </row>
    <row r="1135" spans="1:7">
      <c r="A1135" s="269" t="s">
        <v>371</v>
      </c>
    </row>
    <row r="1136" spans="1:7">
      <c r="A1136" s="269" t="s">
        <v>372</v>
      </c>
    </row>
    <row r="1137" spans="1:11">
      <c r="A1137" s="269" t="s">
        <v>373</v>
      </c>
    </row>
    <row r="1138" spans="1:11">
      <c r="A1138" s="269" t="s">
        <v>374</v>
      </c>
    </row>
    <row r="1139" spans="1:11">
      <c r="A1139" s="269" t="s">
        <v>1570</v>
      </c>
    </row>
    <row r="1140" spans="1:11">
      <c r="A1140" s="269" t="s">
        <v>1571</v>
      </c>
    </row>
    <row r="1141" spans="1:11">
      <c r="A1141" s="270" t="s">
        <v>220</v>
      </c>
      <c r="B1141" s="270" t="s">
        <v>222</v>
      </c>
      <c r="C1141" s="270" t="s">
        <v>375</v>
      </c>
      <c r="D1141" s="270" t="s">
        <v>342</v>
      </c>
      <c r="E1141" s="270" t="s">
        <v>342</v>
      </c>
      <c r="F1141" s="270" t="s">
        <v>342</v>
      </c>
      <c r="G1141" s="270" t="s">
        <v>342</v>
      </c>
      <c r="H1141" s="270" t="s">
        <v>342</v>
      </c>
      <c r="I1141" s="270" t="s">
        <v>342</v>
      </c>
      <c r="J1141" s="270" t="s">
        <v>342</v>
      </c>
    </row>
    <row r="1142" spans="1:11">
      <c r="A1142" s="270" t="s">
        <v>223</v>
      </c>
      <c r="B1142" s="270" t="s">
        <v>225</v>
      </c>
      <c r="C1142" s="270" t="s">
        <v>376</v>
      </c>
      <c r="D1142" s="270" t="s">
        <v>377</v>
      </c>
      <c r="E1142" s="270" t="s">
        <v>378</v>
      </c>
      <c r="F1142" s="270" t="s">
        <v>379</v>
      </c>
      <c r="G1142" s="270" t="s">
        <v>380</v>
      </c>
      <c r="H1142" s="270" t="s">
        <v>381</v>
      </c>
      <c r="I1142" s="270" t="s">
        <v>382</v>
      </c>
      <c r="J1142" s="270" t="s">
        <v>1572</v>
      </c>
    </row>
    <row r="1144" spans="1:11" ht="30">
      <c r="B1144" s="284" t="s">
        <v>383</v>
      </c>
      <c r="C1144" s="284" t="s">
        <v>384</v>
      </c>
      <c r="D1144" s="284" t="s">
        <v>102</v>
      </c>
      <c r="E1144" s="284" t="s">
        <v>103</v>
      </c>
      <c r="F1144" s="284" t="s">
        <v>104</v>
      </c>
      <c r="G1144" s="284" t="s">
        <v>105</v>
      </c>
      <c r="H1144" s="284" t="s">
        <v>106</v>
      </c>
      <c r="I1144" s="284" t="s">
        <v>1569</v>
      </c>
      <c r="J1144" s="284" t="s">
        <v>107</v>
      </c>
    </row>
    <row r="1145" spans="1:11">
      <c r="A1145" s="288" t="s">
        <v>108</v>
      </c>
      <c r="K1145" s="265"/>
    </row>
    <row r="1146" spans="1:11">
      <c r="A1146" s="285" t="s">
        <v>54</v>
      </c>
      <c r="B1146" s="289">
        <f>SUMPRODUCT($B1018:$F1018,$B$116:$F$116)</f>
        <v>0</v>
      </c>
      <c r="C1146" s="298">
        <f>B1146</f>
        <v>0</v>
      </c>
      <c r="D1146" s="273">
        <f>B149*(1-B1146)</f>
        <v>4308328.1799358893</v>
      </c>
      <c r="E1146" s="273">
        <f>C149*(1-B1146)</f>
        <v>0</v>
      </c>
      <c r="F1146" s="273">
        <f t="shared" ref="F1146:G1148" si="29">D149*(1-B1146)</f>
        <v>0</v>
      </c>
      <c r="G1146" s="273">
        <f t="shared" si="29"/>
        <v>1249039.053009829</v>
      </c>
      <c r="H1146" s="273">
        <f>F149*(1-B1146)</f>
        <v>0</v>
      </c>
      <c r="I1146" s="273">
        <f>G149*(1-B1146)</f>
        <v>0</v>
      </c>
      <c r="J1146" s="273">
        <f>H149*(1-B1146)</f>
        <v>0</v>
      </c>
      <c r="K1146" s="265"/>
    </row>
    <row r="1147" spans="1:11">
      <c r="A1147" s="285" t="s">
        <v>109</v>
      </c>
      <c r="B1147" s="289">
        <f>SUMPRODUCT($B1019:$F1019,$B$116:$F$116)</f>
        <v>0.37267999985613431</v>
      </c>
      <c r="C1147" s="298">
        <f>B1147</f>
        <v>0.37267999985613431</v>
      </c>
      <c r="D1147" s="273">
        <f>B150*(1-B1147)</f>
        <v>10863.454125881277</v>
      </c>
      <c r="E1147" s="273">
        <f>C150*(1-B1147)</f>
        <v>0</v>
      </c>
      <c r="F1147" s="273">
        <f t="shared" si="29"/>
        <v>0</v>
      </c>
      <c r="G1147" s="273">
        <f t="shared" si="29"/>
        <v>4035.2173335424263</v>
      </c>
      <c r="H1147" s="273">
        <f>F150*(1-B1147)</f>
        <v>0</v>
      </c>
      <c r="I1147" s="273">
        <f>G150*(1-B1147)</f>
        <v>0</v>
      </c>
      <c r="J1147" s="273">
        <f>H150*(1-B1147)</f>
        <v>0</v>
      </c>
      <c r="K1147" s="265"/>
    </row>
    <row r="1148" spans="1:11">
      <c r="A1148" s="285" t="s">
        <v>110</v>
      </c>
      <c r="B1148" s="289">
        <f>SUMPRODUCT($B1020:$F1020,$B$116:$F$116)</f>
        <v>0.6188090826390088</v>
      </c>
      <c r="C1148" s="298">
        <f>B1148</f>
        <v>0.6188090826390088</v>
      </c>
      <c r="D1148" s="273">
        <f>B151*(1-B1148)</f>
        <v>11572.951003391925</v>
      </c>
      <c r="E1148" s="273">
        <f>C151*(1-B1148)</f>
        <v>0</v>
      </c>
      <c r="F1148" s="273">
        <f t="shared" si="29"/>
        <v>0</v>
      </c>
      <c r="G1148" s="273">
        <f t="shared" si="29"/>
        <v>4514.8299953318401</v>
      </c>
      <c r="H1148" s="273">
        <f>F151*(1-B1148)</f>
        <v>0</v>
      </c>
      <c r="I1148" s="273">
        <f>G151*(1-B1148)</f>
        <v>0</v>
      </c>
      <c r="J1148" s="273">
        <f>H151*(1-B1148)</f>
        <v>0</v>
      </c>
      <c r="K1148" s="265"/>
    </row>
    <row r="1149" spans="1:11">
      <c r="A1149" s="288" t="s">
        <v>111</v>
      </c>
      <c r="K1149" s="265"/>
    </row>
    <row r="1150" spans="1:11">
      <c r="A1150" s="285" t="s">
        <v>55</v>
      </c>
      <c r="B1150" s="289">
        <f>SUMPRODUCT($B1022:$F1022,$B$116:$F$116)</f>
        <v>0</v>
      </c>
      <c r="C1150" s="298">
        <f>B1150</f>
        <v>0</v>
      </c>
      <c r="D1150" s="273">
        <f>B153*(1-B1150)</f>
        <v>607941.0703076917</v>
      </c>
      <c r="E1150" s="273">
        <f>C153*(1-B1150)</f>
        <v>664320.74235178798</v>
      </c>
      <c r="F1150" s="273">
        <f t="shared" ref="F1150:G1152" si="30">D153*(1-B1150)</f>
        <v>0</v>
      </c>
      <c r="G1150" s="273">
        <f t="shared" si="30"/>
        <v>209037.51452636323</v>
      </c>
      <c r="H1150" s="273">
        <f>F153*(1-B1150)</f>
        <v>0</v>
      </c>
      <c r="I1150" s="273">
        <f>G153*(1-B1150)</f>
        <v>0</v>
      </c>
      <c r="J1150" s="273">
        <f>H153*(1-B1150)</f>
        <v>0</v>
      </c>
      <c r="K1150" s="265"/>
    </row>
    <row r="1151" spans="1:11">
      <c r="A1151" s="285" t="s">
        <v>112</v>
      </c>
      <c r="B1151" s="289">
        <f>SUMPRODUCT($B1023:$F1023,$B$116:$F$116)</f>
        <v>0.37267999985613431</v>
      </c>
      <c r="C1151" s="298">
        <f>B1151</f>
        <v>0.37267999985613431</v>
      </c>
      <c r="D1151" s="273">
        <f>B154*(1-B1151)</f>
        <v>625.020587415676</v>
      </c>
      <c r="E1151" s="273">
        <f>C154*(1-B1151)</f>
        <v>291.2743678471391</v>
      </c>
      <c r="F1151" s="273">
        <f t="shared" si="30"/>
        <v>0</v>
      </c>
      <c r="G1151" s="273">
        <f t="shared" si="30"/>
        <v>266.34657780634257</v>
      </c>
      <c r="H1151" s="273">
        <f>F154*(1-B1151)</f>
        <v>0</v>
      </c>
      <c r="I1151" s="273">
        <f>G154*(1-B1151)</f>
        <v>0</v>
      </c>
      <c r="J1151" s="273">
        <f>H154*(1-B1151)</f>
        <v>0</v>
      </c>
      <c r="K1151" s="265"/>
    </row>
    <row r="1152" spans="1:11">
      <c r="A1152" s="285" t="s">
        <v>113</v>
      </c>
      <c r="B1152" s="289">
        <f>SUMPRODUCT($B1024:$F1024,$B$116:$F$116)</f>
        <v>0.6188090826390088</v>
      </c>
      <c r="C1152" s="298">
        <f>B1152</f>
        <v>0.6188090826390088</v>
      </c>
      <c r="D1152" s="273">
        <f>B155*(1-B1152)</f>
        <v>365.2527482886893</v>
      </c>
      <c r="E1152" s="273">
        <f>C155*(1-B1152)</f>
        <v>155.50945925988529</v>
      </c>
      <c r="F1152" s="273">
        <f t="shared" si="30"/>
        <v>0</v>
      </c>
      <c r="G1152" s="273">
        <f t="shared" si="30"/>
        <v>140.42955278612467</v>
      </c>
      <c r="H1152" s="273">
        <f>F155*(1-B1152)</f>
        <v>0</v>
      </c>
      <c r="I1152" s="273">
        <f>G155*(1-B1152)</f>
        <v>0</v>
      </c>
      <c r="J1152" s="273">
        <f>H155*(1-B1152)</f>
        <v>0</v>
      </c>
      <c r="K1152" s="265"/>
    </row>
    <row r="1153" spans="1:11">
      <c r="A1153" s="288" t="s">
        <v>114</v>
      </c>
      <c r="K1153" s="265"/>
    </row>
    <row r="1154" spans="1:11">
      <c r="A1154" s="285" t="s">
        <v>91</v>
      </c>
      <c r="B1154" s="289">
        <f>SUMPRODUCT($B1026:$F1026,$B$116:$F$116)</f>
        <v>0</v>
      </c>
      <c r="C1154" s="298">
        <f>B1154</f>
        <v>0</v>
      </c>
      <c r="D1154" s="273">
        <f>B157*(1-B1154)</f>
        <v>45959.708361578618</v>
      </c>
      <c r="E1154" s="273">
        <f>C157*(1-B1154)</f>
        <v>0</v>
      </c>
      <c r="F1154" s="273">
        <f t="shared" ref="F1154:G1156" si="31">D157*(1-B1154)</f>
        <v>0</v>
      </c>
      <c r="G1154" s="273">
        <f t="shared" si="31"/>
        <v>15622</v>
      </c>
      <c r="H1154" s="273">
        <f>F157*(1-B1154)</f>
        <v>0</v>
      </c>
      <c r="I1154" s="273">
        <f>G157*(1-B1154)</f>
        <v>0</v>
      </c>
      <c r="J1154" s="273">
        <f>H157*(1-B1154)</f>
        <v>0</v>
      </c>
      <c r="K1154" s="265"/>
    </row>
    <row r="1155" spans="1:11">
      <c r="A1155" s="285" t="s">
        <v>115</v>
      </c>
      <c r="B1155" s="289">
        <f>SUMPRODUCT($B1027:$F1027,$B$116:$F$116)</f>
        <v>0.37267999985613431</v>
      </c>
      <c r="C1155" s="298">
        <f>B1155</f>
        <v>0.37267999985613431</v>
      </c>
      <c r="D1155" s="273">
        <f>B158*(1-B1155)</f>
        <v>0</v>
      </c>
      <c r="E1155" s="273">
        <f>C158*(1-B1155)</f>
        <v>0</v>
      </c>
      <c r="F1155" s="273">
        <f t="shared" si="31"/>
        <v>0</v>
      </c>
      <c r="G1155" s="273">
        <f t="shared" si="31"/>
        <v>0</v>
      </c>
      <c r="H1155" s="273">
        <f>F158*(1-B1155)</f>
        <v>0</v>
      </c>
      <c r="I1155" s="273">
        <f>G158*(1-B1155)</f>
        <v>0</v>
      </c>
      <c r="J1155" s="273">
        <f>H158*(1-B1155)</f>
        <v>0</v>
      </c>
      <c r="K1155" s="265"/>
    </row>
    <row r="1156" spans="1:11">
      <c r="A1156" s="285" t="s">
        <v>116</v>
      </c>
      <c r="B1156" s="289">
        <f>SUMPRODUCT($B1028:$F1028,$B$116:$F$116)</f>
        <v>0.6188090826390088</v>
      </c>
      <c r="C1156" s="298">
        <f>B1156</f>
        <v>0.6188090826390088</v>
      </c>
      <c r="D1156" s="273">
        <f>B159*(1-B1156)</f>
        <v>0</v>
      </c>
      <c r="E1156" s="273">
        <f>C159*(1-B1156)</f>
        <v>0</v>
      </c>
      <c r="F1156" s="273">
        <f t="shared" si="31"/>
        <v>0</v>
      </c>
      <c r="G1156" s="273">
        <f t="shared" si="31"/>
        <v>0</v>
      </c>
      <c r="H1156" s="273">
        <f>F159*(1-B1156)</f>
        <v>0</v>
      </c>
      <c r="I1156" s="273">
        <f>G159*(1-B1156)</f>
        <v>0</v>
      </c>
      <c r="J1156" s="273">
        <f>H159*(1-B1156)</f>
        <v>0</v>
      </c>
      <c r="K1156" s="265"/>
    </row>
    <row r="1157" spans="1:11">
      <c r="A1157" s="288" t="s">
        <v>117</v>
      </c>
      <c r="K1157" s="265"/>
    </row>
    <row r="1158" spans="1:11">
      <c r="A1158" s="285" t="s">
        <v>56</v>
      </c>
      <c r="B1158" s="289">
        <f>SUMPRODUCT($B1030:$F1030,$B$116:$F$116)</f>
        <v>0</v>
      </c>
      <c r="C1158" s="298">
        <f>B1158</f>
        <v>0</v>
      </c>
      <c r="D1158" s="273">
        <f>B161*(1-B1158)</f>
        <v>1179331.5292248435</v>
      </c>
      <c r="E1158" s="273">
        <f>C161*(1-B1158)</f>
        <v>0</v>
      </c>
      <c r="F1158" s="273">
        <f t="shared" ref="F1158:G1160" si="32">D161*(1-B1158)</f>
        <v>0</v>
      </c>
      <c r="G1158" s="273">
        <f t="shared" si="32"/>
        <v>110093.23974331518</v>
      </c>
      <c r="H1158" s="273">
        <f>F161*(1-B1158)</f>
        <v>0</v>
      </c>
      <c r="I1158" s="273">
        <f>G161*(1-B1158)</f>
        <v>0</v>
      </c>
      <c r="J1158" s="273">
        <f>H161*(1-B1158)</f>
        <v>0</v>
      </c>
      <c r="K1158" s="265"/>
    </row>
    <row r="1159" spans="1:11">
      <c r="A1159" s="285" t="s">
        <v>118</v>
      </c>
      <c r="B1159" s="289">
        <f>SUMPRODUCT($B1031:$F1031,$B$116:$F$116)</f>
        <v>0.37267999985613431</v>
      </c>
      <c r="C1159" s="298">
        <f>B1159</f>
        <v>0.37267999985613431</v>
      </c>
      <c r="D1159" s="273">
        <f>B162*(1-B1159)</f>
        <v>494.60214807756108</v>
      </c>
      <c r="E1159" s="273">
        <f>C162*(1-B1159)</f>
        <v>0</v>
      </c>
      <c r="F1159" s="273">
        <f t="shared" si="32"/>
        <v>0</v>
      </c>
      <c r="G1159" s="273">
        <f t="shared" si="32"/>
        <v>80.191194725733013</v>
      </c>
      <c r="H1159" s="273">
        <f>F162*(1-B1159)</f>
        <v>0</v>
      </c>
      <c r="I1159" s="273">
        <f>G162*(1-B1159)</f>
        <v>0</v>
      </c>
      <c r="J1159" s="273">
        <f>H162*(1-B1159)</f>
        <v>0</v>
      </c>
      <c r="K1159" s="265"/>
    </row>
    <row r="1160" spans="1:11">
      <c r="A1160" s="285" t="s">
        <v>119</v>
      </c>
      <c r="B1160" s="289">
        <f>SUMPRODUCT($B1032:$F1032,$B$116:$F$116)</f>
        <v>0.6188090826390088</v>
      </c>
      <c r="C1160" s="298">
        <f>B1160</f>
        <v>0.6188090826390088</v>
      </c>
      <c r="D1160" s="273">
        <f>B163*(1-B1160)</f>
        <v>2818.0580663702349</v>
      </c>
      <c r="E1160" s="273">
        <f>C163*(1-B1160)</f>
        <v>0</v>
      </c>
      <c r="F1160" s="273">
        <f t="shared" si="32"/>
        <v>0</v>
      </c>
      <c r="G1160" s="273">
        <f t="shared" si="32"/>
        <v>176.18667907367001</v>
      </c>
      <c r="H1160" s="273">
        <f>F163*(1-B1160)</f>
        <v>0</v>
      </c>
      <c r="I1160" s="273">
        <f>G163*(1-B1160)</f>
        <v>0</v>
      </c>
      <c r="J1160" s="273">
        <f>H163*(1-B1160)</f>
        <v>0</v>
      </c>
      <c r="K1160" s="265"/>
    </row>
    <row r="1161" spans="1:11">
      <c r="A1161" s="288" t="s">
        <v>120</v>
      </c>
      <c r="K1161" s="265"/>
    </row>
    <row r="1162" spans="1:11">
      <c r="A1162" s="285" t="s">
        <v>57</v>
      </c>
      <c r="B1162" s="289">
        <f>SUMPRODUCT($B1034:$F1034,$B$116:$F$116)</f>
        <v>0</v>
      </c>
      <c r="C1162" s="298">
        <f>B1162</f>
        <v>0</v>
      </c>
      <c r="D1162" s="273">
        <f>B165*(1-B1162)</f>
        <v>394405.65408074018</v>
      </c>
      <c r="E1162" s="273">
        <f>C165*(1-B1162)</f>
        <v>183263.23104870663</v>
      </c>
      <c r="F1162" s="273">
        <f t="shared" ref="F1162:G1164" si="33">D165*(1-B1162)</f>
        <v>0</v>
      </c>
      <c r="G1162" s="273">
        <f t="shared" si="33"/>
        <v>29443.268260965255</v>
      </c>
      <c r="H1162" s="273">
        <f>F165*(1-B1162)</f>
        <v>0</v>
      </c>
      <c r="I1162" s="273">
        <f>G165*(1-B1162)</f>
        <v>0</v>
      </c>
      <c r="J1162" s="273">
        <f>H165*(1-B1162)</f>
        <v>0</v>
      </c>
      <c r="K1162" s="265"/>
    </row>
    <row r="1163" spans="1:11">
      <c r="A1163" s="285" t="s">
        <v>121</v>
      </c>
      <c r="B1163" s="289">
        <f>SUMPRODUCT($B1035:$F1035,$B$116:$F$116)</f>
        <v>0.37267999985613431</v>
      </c>
      <c r="C1163" s="298">
        <f>B1163</f>
        <v>0.37267999985613431</v>
      </c>
      <c r="D1163" s="273">
        <f>B166*(1-B1163)</f>
        <v>25.877266872837634</v>
      </c>
      <c r="E1163" s="273">
        <f>C166*(1-B1163)</f>
        <v>10.863990754072173</v>
      </c>
      <c r="F1163" s="273">
        <f t="shared" si="33"/>
        <v>0</v>
      </c>
      <c r="G1163" s="273">
        <f t="shared" si="33"/>
        <v>1.7296192054377564</v>
      </c>
      <c r="H1163" s="273">
        <f>F166*(1-B1163)</f>
        <v>0</v>
      </c>
      <c r="I1163" s="273">
        <f>G166*(1-B1163)</f>
        <v>0</v>
      </c>
      <c r="J1163" s="273">
        <f>H166*(1-B1163)</f>
        <v>0</v>
      </c>
      <c r="K1163" s="265"/>
    </row>
    <row r="1164" spans="1:11">
      <c r="A1164" s="285" t="s">
        <v>122</v>
      </c>
      <c r="B1164" s="289">
        <f>SUMPRODUCT($B1036:$F1036,$B$116:$F$116)</f>
        <v>0.6188090826390088</v>
      </c>
      <c r="C1164" s="298">
        <f>B1164</f>
        <v>0.6188090826390088</v>
      </c>
      <c r="D1164" s="273">
        <f>B167*(1-B1164)</f>
        <v>353.07766146136925</v>
      </c>
      <c r="E1164" s="273">
        <f>C167*(1-B1164)</f>
        <v>99.23503821299947</v>
      </c>
      <c r="F1164" s="273">
        <f t="shared" si="33"/>
        <v>0</v>
      </c>
      <c r="G1164" s="273">
        <f t="shared" si="33"/>
        <v>8.9788899190968259</v>
      </c>
      <c r="H1164" s="273">
        <f>F167*(1-B1164)</f>
        <v>0</v>
      </c>
      <c r="I1164" s="273">
        <f>G167*(1-B1164)</f>
        <v>0</v>
      </c>
      <c r="J1164" s="273">
        <f>H167*(1-B1164)</f>
        <v>0</v>
      </c>
      <c r="K1164" s="265"/>
    </row>
    <row r="1165" spans="1:11">
      <c r="A1165" s="288" t="s">
        <v>123</v>
      </c>
      <c r="K1165" s="265"/>
    </row>
    <row r="1166" spans="1:11">
      <c r="A1166" s="285" t="s">
        <v>92</v>
      </c>
      <c r="B1166" s="289">
        <f>SUMPRODUCT($B1038:$F1038,$B$116:$F$116)</f>
        <v>0</v>
      </c>
      <c r="C1166" s="298">
        <f>B1166</f>
        <v>0</v>
      </c>
      <c r="D1166" s="273">
        <f>B169*(1-B1166)</f>
        <v>17319.819478475714</v>
      </c>
      <c r="E1166" s="273">
        <f>C169*(1-B1166)</f>
        <v>0</v>
      </c>
      <c r="F1166" s="273">
        <f t="shared" ref="F1166:G1168" si="34">D169*(1-B1166)</f>
        <v>0</v>
      </c>
      <c r="G1166" s="273">
        <f t="shared" si="34"/>
        <v>3339</v>
      </c>
      <c r="H1166" s="273">
        <f>F169*(1-B1166)</f>
        <v>0</v>
      </c>
      <c r="I1166" s="273">
        <f>G169*(1-B1166)</f>
        <v>0</v>
      </c>
      <c r="J1166" s="273">
        <f>H169*(1-B1166)</f>
        <v>0</v>
      </c>
      <c r="K1166" s="265"/>
    </row>
    <row r="1167" spans="1:11" ht="30">
      <c r="A1167" s="285" t="s">
        <v>124</v>
      </c>
      <c r="B1167" s="289">
        <f>SUMPRODUCT($B1039:$F1039,$B$116:$F$116)</f>
        <v>0.37267999985613431</v>
      </c>
      <c r="C1167" s="298">
        <f>B1167</f>
        <v>0.37267999985613431</v>
      </c>
      <c r="D1167" s="273">
        <f>B170*(1-B1167)</f>
        <v>0</v>
      </c>
      <c r="E1167" s="273">
        <f>C170*(1-B1167)</f>
        <v>0</v>
      </c>
      <c r="F1167" s="273">
        <f t="shared" si="34"/>
        <v>0</v>
      </c>
      <c r="G1167" s="273">
        <f t="shared" si="34"/>
        <v>0</v>
      </c>
      <c r="H1167" s="273">
        <f>F170*(1-B1167)</f>
        <v>0</v>
      </c>
      <c r="I1167" s="273">
        <f>G170*(1-B1167)</f>
        <v>0</v>
      </c>
      <c r="J1167" s="273">
        <f>H170*(1-B1167)</f>
        <v>0</v>
      </c>
      <c r="K1167" s="265"/>
    </row>
    <row r="1168" spans="1:11" ht="30">
      <c r="A1168" s="285" t="s">
        <v>125</v>
      </c>
      <c r="B1168" s="289">
        <f>SUMPRODUCT($B1040:$F1040,$B$116:$F$116)</f>
        <v>0.6188090826390088</v>
      </c>
      <c r="C1168" s="298">
        <f>B1168</f>
        <v>0.6188090826390088</v>
      </c>
      <c r="D1168" s="273">
        <f>B171*(1-B1168)</f>
        <v>0</v>
      </c>
      <c r="E1168" s="273">
        <f>C171*(1-B1168)</f>
        <v>0</v>
      </c>
      <c r="F1168" s="273">
        <f t="shared" si="34"/>
        <v>0</v>
      </c>
      <c r="G1168" s="273">
        <f t="shared" si="34"/>
        <v>0</v>
      </c>
      <c r="H1168" s="273">
        <f>F171*(1-B1168)</f>
        <v>0</v>
      </c>
      <c r="I1168" s="273">
        <f>G171*(1-B1168)</f>
        <v>0</v>
      </c>
      <c r="J1168" s="273">
        <f>H171*(1-B1168)</f>
        <v>0</v>
      </c>
      <c r="K1168" s="265"/>
    </row>
    <row r="1169" spans="1:11">
      <c r="A1169" s="288" t="s">
        <v>126</v>
      </c>
      <c r="K1169" s="265"/>
    </row>
    <row r="1170" spans="1:11">
      <c r="A1170" s="285" t="s">
        <v>58</v>
      </c>
      <c r="B1170" s="289">
        <f>SUMPRODUCT($B1042:$F1042,$B$116:$F$116)</f>
        <v>0</v>
      </c>
      <c r="C1170" s="298">
        <f>B1170</f>
        <v>0</v>
      </c>
      <c r="D1170" s="273">
        <f>B173*(1-B1170)</f>
        <v>8.0133204024159801E-4</v>
      </c>
      <c r="E1170" s="273">
        <f>C173*(1-B1170)</f>
        <v>1.9866795975840209E-4</v>
      </c>
      <c r="F1170" s="273">
        <f t="shared" ref="F1170:G1172" si="35">D173*(1-B1170)</f>
        <v>0</v>
      </c>
      <c r="G1170" s="273">
        <f t="shared" si="35"/>
        <v>1.1375306250331345E-5</v>
      </c>
      <c r="H1170" s="273">
        <f>F173*(1-B1170)</f>
        <v>0</v>
      </c>
      <c r="I1170" s="273">
        <f>G173*(1-B1170)</f>
        <v>0</v>
      </c>
      <c r="J1170" s="273">
        <f>H173*(1-B1170)</f>
        <v>0</v>
      </c>
      <c r="K1170" s="265"/>
    </row>
    <row r="1171" spans="1:11">
      <c r="A1171" s="285" t="s">
        <v>127</v>
      </c>
      <c r="B1171" s="289">
        <f>SUMPRODUCT($B1043:$F1043,$B$116:$F$116)</f>
        <v>0.37267999985613431</v>
      </c>
      <c r="C1171" s="298">
        <f>B1171</f>
        <v>0.37267999985613431</v>
      </c>
      <c r="D1171" s="273">
        <f>B174*(1-B1171)</f>
        <v>0</v>
      </c>
      <c r="E1171" s="273">
        <f>C174*(1-B1171)</f>
        <v>0</v>
      </c>
      <c r="F1171" s="273">
        <f t="shared" si="35"/>
        <v>0</v>
      </c>
      <c r="G1171" s="273">
        <f t="shared" si="35"/>
        <v>0</v>
      </c>
      <c r="H1171" s="273">
        <f>F174*(1-B1171)</f>
        <v>0</v>
      </c>
      <c r="I1171" s="273">
        <f>G174*(1-B1171)</f>
        <v>0</v>
      </c>
      <c r="J1171" s="273">
        <f>H174*(1-B1171)</f>
        <v>0</v>
      </c>
      <c r="K1171" s="265"/>
    </row>
    <row r="1172" spans="1:11">
      <c r="A1172" s="285" t="s">
        <v>128</v>
      </c>
      <c r="B1172" s="289">
        <f>SUMPRODUCT($B1044:$F1044,$B$116:$F$116)</f>
        <v>0.6188090826390088</v>
      </c>
      <c r="C1172" s="298">
        <f>B1172</f>
        <v>0.6188090826390088</v>
      </c>
      <c r="D1172" s="273">
        <f>B175*(1-B1172)</f>
        <v>0</v>
      </c>
      <c r="E1172" s="273">
        <f>C175*(1-B1172)</f>
        <v>0</v>
      </c>
      <c r="F1172" s="273">
        <f t="shared" si="35"/>
        <v>0</v>
      </c>
      <c r="G1172" s="273">
        <f t="shared" si="35"/>
        <v>0</v>
      </c>
      <c r="H1172" s="273">
        <f>F175*(1-B1172)</f>
        <v>0</v>
      </c>
      <c r="I1172" s="273">
        <f>G175*(1-B1172)</f>
        <v>0</v>
      </c>
      <c r="J1172" s="273">
        <f>H175*(1-B1172)</f>
        <v>0</v>
      </c>
      <c r="K1172" s="265"/>
    </row>
    <row r="1173" spans="1:11">
      <c r="A1173" s="288" t="s">
        <v>129</v>
      </c>
      <c r="K1173" s="265"/>
    </row>
    <row r="1174" spans="1:11">
      <c r="A1174" s="285" t="s">
        <v>59</v>
      </c>
      <c r="B1174" s="289">
        <f>SUMPRODUCT($B1046:$F1046,$B$116:$F$116)</f>
        <v>0</v>
      </c>
      <c r="C1174" s="298">
        <f>B1174</f>
        <v>0</v>
      </c>
      <c r="D1174" s="273">
        <f>B177*(1-B1174)</f>
        <v>7.8187632481715845E-4</v>
      </c>
      <c r="E1174" s="273">
        <f>C177*(1-B1174)</f>
        <v>2.1812367518284149E-4</v>
      </c>
      <c r="F1174" s="273">
        <f>D177*(1-B1174)</f>
        <v>0</v>
      </c>
      <c r="G1174" s="273">
        <f>E177*(1-C1174)</f>
        <v>8.3651490727006342E-6</v>
      </c>
      <c r="H1174" s="273">
        <f>F177*(1-B1174)</f>
        <v>0</v>
      </c>
      <c r="I1174" s="273">
        <f>G177*(1-B1174)</f>
        <v>0</v>
      </c>
      <c r="J1174" s="273">
        <f>H177*(1-B1174)</f>
        <v>0</v>
      </c>
      <c r="K1174" s="265"/>
    </row>
    <row r="1175" spans="1:11">
      <c r="A1175" s="288" t="s">
        <v>130</v>
      </c>
      <c r="K1175" s="265"/>
    </row>
    <row r="1176" spans="1:11">
      <c r="A1176" s="285" t="s">
        <v>72</v>
      </c>
      <c r="B1176" s="289">
        <f>SUMPRODUCT($B1048:$F1048,$B$116:$F$116)</f>
        <v>0</v>
      </c>
      <c r="C1176" s="298">
        <f>B1176</f>
        <v>0</v>
      </c>
      <c r="D1176" s="273">
        <f>B179*(1-B1176)</f>
        <v>7.7902953356325151E-4</v>
      </c>
      <c r="E1176" s="273">
        <f>C179*(1-B1176)</f>
        <v>2.2097046643674843E-4</v>
      </c>
      <c r="F1176" s="273">
        <f>D179*(1-B1176)</f>
        <v>0</v>
      </c>
      <c r="G1176" s="273">
        <f>E179*(1-C1176)</f>
        <v>8.8911149421647205E-6</v>
      </c>
      <c r="H1176" s="273">
        <f>F179*(1-B1176)</f>
        <v>0</v>
      </c>
      <c r="I1176" s="273">
        <f>G179*(1-B1176)</f>
        <v>0</v>
      </c>
      <c r="J1176" s="273">
        <f>H179*(1-B1176)</f>
        <v>0</v>
      </c>
      <c r="K1176" s="265"/>
    </row>
    <row r="1177" spans="1:11">
      <c r="A1177" s="288" t="s">
        <v>1181</v>
      </c>
      <c r="K1177" s="265"/>
    </row>
    <row r="1178" spans="1:11">
      <c r="A1178" s="285" t="s">
        <v>1178</v>
      </c>
      <c r="B1178" s="289">
        <f>SUMPRODUCT($B1050:$F1050,$B$116:$F$116)</f>
        <v>0</v>
      </c>
      <c r="C1178" s="298">
        <f>B1178</f>
        <v>0</v>
      </c>
      <c r="D1178" s="273">
        <f>B181*(1-B1178)</f>
        <v>2.2038402354910721E-2</v>
      </c>
      <c r="E1178" s="273">
        <f>C181*(1-B1178)</f>
        <v>5.6003186010638299E-2</v>
      </c>
      <c r="F1178" s="273">
        <f t="shared" ref="F1178:G1180" si="36">D181*(1-B1178)</f>
        <v>5.28921656517857E-2</v>
      </c>
      <c r="G1178" s="273">
        <f t="shared" si="36"/>
        <v>8.4931506849315067E-2</v>
      </c>
      <c r="H1178" s="273">
        <f>F181*(1-B1178)</f>
        <v>0</v>
      </c>
      <c r="I1178" s="273">
        <f>G181*(1-B1178)</f>
        <v>0</v>
      </c>
      <c r="J1178" s="273">
        <f>H181*(1-B1178)</f>
        <v>0</v>
      </c>
      <c r="K1178" s="265"/>
    </row>
    <row r="1179" spans="1:11">
      <c r="A1179" s="285" t="s">
        <v>1175</v>
      </c>
      <c r="B1179" s="289">
        <f>SUMPRODUCT($B1051:$F1051,$B$116:$F$116)</f>
        <v>0.37267999985613431</v>
      </c>
      <c r="C1179" s="298">
        <f>B1179</f>
        <v>0.37267999985613431</v>
      </c>
      <c r="D1179" s="273">
        <f>B182*(1-B1179)</f>
        <v>0</v>
      </c>
      <c r="E1179" s="273">
        <f>C182*(1-B1179)</f>
        <v>0</v>
      </c>
      <c r="F1179" s="273">
        <f t="shared" si="36"/>
        <v>0</v>
      </c>
      <c r="G1179" s="273">
        <f t="shared" si="36"/>
        <v>0</v>
      </c>
      <c r="H1179" s="273">
        <f>F182*(1-B1179)</f>
        <v>0</v>
      </c>
      <c r="I1179" s="273">
        <f>G182*(1-B1179)</f>
        <v>0</v>
      </c>
      <c r="J1179" s="273">
        <f>H182*(1-B1179)</f>
        <v>0</v>
      </c>
      <c r="K1179" s="265"/>
    </row>
    <row r="1180" spans="1:11">
      <c r="A1180" s="285" t="s">
        <v>1172</v>
      </c>
      <c r="B1180" s="289">
        <f>SUMPRODUCT($B1052:$F1052,$B$116:$F$116)</f>
        <v>0.6188090826390088</v>
      </c>
      <c r="C1180" s="298">
        <f>B1180</f>
        <v>0.6188090826390088</v>
      </c>
      <c r="D1180" s="273">
        <f>B183*(1-B1180)</f>
        <v>0</v>
      </c>
      <c r="E1180" s="273">
        <f>C183*(1-B1180)</f>
        <v>0</v>
      </c>
      <c r="F1180" s="273">
        <f t="shared" si="36"/>
        <v>0</v>
      </c>
      <c r="G1180" s="273">
        <f t="shared" si="36"/>
        <v>0</v>
      </c>
      <c r="H1180" s="273">
        <f>F183*(1-B1180)</f>
        <v>0</v>
      </c>
      <c r="I1180" s="273">
        <f>G183*(1-B1180)</f>
        <v>0</v>
      </c>
      <c r="J1180" s="273">
        <f>H183*(1-B1180)</f>
        <v>0</v>
      </c>
      <c r="K1180" s="265"/>
    </row>
    <row r="1181" spans="1:11">
      <c r="A1181" s="288" t="s">
        <v>1180</v>
      </c>
      <c r="K1181" s="265"/>
    </row>
    <row r="1182" spans="1:11">
      <c r="A1182" s="285" t="s">
        <v>1177</v>
      </c>
      <c r="B1182" s="289">
        <f>SUMPRODUCT($B1054:$F1054,$B$116:$F$116)</f>
        <v>0</v>
      </c>
      <c r="C1182" s="298">
        <f>B1182</f>
        <v>0</v>
      </c>
      <c r="D1182" s="273">
        <f>B185*(1-B1182)</f>
        <v>26809.776329036184</v>
      </c>
      <c r="E1182" s="273">
        <f>C185*(1-B1182)</f>
        <v>198363.7566935535</v>
      </c>
      <c r="F1182" s="273">
        <f t="shared" ref="F1182:G1184" si="37">D185*(1-B1182)</f>
        <v>187790.92736802268</v>
      </c>
      <c r="G1182" s="273">
        <f t="shared" si="37"/>
        <v>6133.3604116966899</v>
      </c>
      <c r="H1182" s="273">
        <f>F185*(1-B1182)</f>
        <v>0</v>
      </c>
      <c r="I1182" s="273">
        <f>G185*(1-B1182)</f>
        <v>0</v>
      </c>
      <c r="J1182" s="273">
        <f>H185*(1-B1182)</f>
        <v>0</v>
      </c>
      <c r="K1182" s="265"/>
    </row>
    <row r="1183" spans="1:11">
      <c r="A1183" s="285" t="s">
        <v>1174</v>
      </c>
      <c r="B1183" s="289">
        <f>SUMPRODUCT($B1055:$F1055,$B$116:$F$116)</f>
        <v>0.37267999985613431</v>
      </c>
      <c r="C1183" s="298">
        <f>B1183</f>
        <v>0.37267999985613431</v>
      </c>
      <c r="D1183" s="273">
        <f>B186*(1-B1183)</f>
        <v>2.0800306501293351</v>
      </c>
      <c r="E1183" s="273">
        <f>C186*(1-B1183)</f>
        <v>15.438644892615859</v>
      </c>
      <c r="F1183" s="273">
        <f t="shared" si="37"/>
        <v>16.45323444411698</v>
      </c>
      <c r="G1183" s="273">
        <f t="shared" si="37"/>
        <v>0.70893382536489735</v>
      </c>
      <c r="H1183" s="273">
        <f>F186*(1-B1183)</f>
        <v>0</v>
      </c>
      <c r="I1183" s="273">
        <f>G186*(1-B1183)</f>
        <v>0</v>
      </c>
      <c r="J1183" s="273">
        <f>H186*(1-B1183)</f>
        <v>0</v>
      </c>
      <c r="K1183" s="265"/>
    </row>
    <row r="1184" spans="1:11">
      <c r="A1184" s="285" t="s">
        <v>1171</v>
      </c>
      <c r="B1184" s="289">
        <f>SUMPRODUCT($B1056:$F1056,$B$116:$F$116)</f>
        <v>0.6188090826390088</v>
      </c>
      <c r="C1184" s="298">
        <f>B1184</f>
        <v>0.6188090826390088</v>
      </c>
      <c r="D1184" s="273">
        <f>B187*(1-B1184)</f>
        <v>79.61371561705117</v>
      </c>
      <c r="E1184" s="273">
        <f>C187*(1-B1184)</f>
        <v>548.90302883102584</v>
      </c>
      <c r="F1184" s="273">
        <f t="shared" si="37"/>
        <v>450.72503558867362</v>
      </c>
      <c r="G1184" s="273">
        <f t="shared" si="37"/>
        <v>15.212035543603157</v>
      </c>
      <c r="H1184" s="273">
        <f>F187*(1-B1184)</f>
        <v>0</v>
      </c>
      <c r="I1184" s="273">
        <f>G187*(1-B1184)</f>
        <v>0</v>
      </c>
      <c r="J1184" s="273">
        <f>H187*(1-B1184)</f>
        <v>0</v>
      </c>
      <c r="K1184" s="265"/>
    </row>
    <row r="1185" spans="1:11">
      <c r="A1185" s="288" t="s">
        <v>131</v>
      </c>
      <c r="K1185" s="265"/>
    </row>
    <row r="1186" spans="1:11">
      <c r="A1186" s="285" t="s">
        <v>60</v>
      </c>
      <c r="B1186" s="289">
        <f>SUMPRODUCT($B1058:$F1058,$B$116:$F$116)</f>
        <v>0</v>
      </c>
      <c r="C1186" s="298">
        <f>B1186</f>
        <v>0</v>
      </c>
      <c r="D1186" s="273">
        <f>B189*(1-B1186)</f>
        <v>86224.938174458686</v>
      </c>
      <c r="E1186" s="273">
        <f>C189*(1-B1186)</f>
        <v>626406.11625046073</v>
      </c>
      <c r="F1186" s="273">
        <f t="shared" ref="F1186:G1188" si="38">D189*(1-B1186)</f>
        <v>551384.49934371735</v>
      </c>
      <c r="G1186" s="273">
        <f t="shared" si="38"/>
        <v>6675.4921517207349</v>
      </c>
      <c r="H1186" s="273">
        <f>F189*(1-B1186)</f>
        <v>679119.46093167306</v>
      </c>
      <c r="I1186" s="273">
        <f>G189*(1-B1186)</f>
        <v>12059.509748296468</v>
      </c>
      <c r="J1186" s="273">
        <f>H189*(1-B1186)</f>
        <v>78582.108886907372</v>
      </c>
      <c r="K1186" s="265"/>
    </row>
    <row r="1187" spans="1:11">
      <c r="A1187" s="285" t="s">
        <v>132</v>
      </c>
      <c r="B1187" s="289">
        <f>SUMPRODUCT($B1059:$F1059,$B$116:$F$116)</f>
        <v>0.37267999985613431</v>
      </c>
      <c r="C1187" s="298">
        <f>B1187</f>
        <v>0.37267999985613431</v>
      </c>
      <c r="D1187" s="273">
        <f>B190*(1-B1187)</f>
        <v>16.730747567524507</v>
      </c>
      <c r="E1187" s="273">
        <f>C190*(1-B1187)</f>
        <v>115.99766293330748</v>
      </c>
      <c r="F1187" s="273">
        <f t="shared" si="38"/>
        <v>118.59427537006215</v>
      </c>
      <c r="G1187" s="273">
        <f t="shared" si="38"/>
        <v>2.288908577048637</v>
      </c>
      <c r="H1187" s="273">
        <f>F190*(1-B1187)</f>
        <v>241.64720626506173</v>
      </c>
      <c r="I1187" s="273">
        <f>G190*(1-B1187)</f>
        <v>0</v>
      </c>
      <c r="J1187" s="273">
        <f>H190*(1-B1187)</f>
        <v>24.398669958350201</v>
      </c>
      <c r="K1187" s="265"/>
    </row>
    <row r="1188" spans="1:11">
      <c r="A1188" s="285" t="s">
        <v>133</v>
      </c>
      <c r="B1188" s="289">
        <f>SUMPRODUCT($B1060:$F1060,$B$116:$F$116)</f>
        <v>0.6188090826390088</v>
      </c>
      <c r="C1188" s="298">
        <f>B1188</f>
        <v>0.6188090826390088</v>
      </c>
      <c r="D1188" s="273">
        <f>B191*(1-B1188)</f>
        <v>1156.3489989487357</v>
      </c>
      <c r="E1188" s="273">
        <f>C191*(1-B1188)</f>
        <v>7539.3633977076533</v>
      </c>
      <c r="F1188" s="273">
        <f t="shared" si="38"/>
        <v>6520.2471938769959</v>
      </c>
      <c r="G1188" s="273">
        <f t="shared" si="38"/>
        <v>39.08329406553154</v>
      </c>
      <c r="H1188" s="273">
        <f>F191*(1-B1188)</f>
        <v>8101.0422903134804</v>
      </c>
      <c r="I1188" s="273">
        <f>G191*(1-B1188)</f>
        <v>32.598936300228907</v>
      </c>
      <c r="J1188" s="273">
        <f>H191*(1-B1188)</f>
        <v>658.02608228928955</v>
      </c>
      <c r="K1188" s="265"/>
    </row>
    <row r="1189" spans="1:11">
      <c r="A1189" s="288" t="s">
        <v>134</v>
      </c>
      <c r="K1189" s="265"/>
    </row>
    <row r="1190" spans="1:11">
      <c r="A1190" s="285" t="s">
        <v>61</v>
      </c>
      <c r="B1190" s="289">
        <f>SUMPRODUCT($B1062:$F1062,$B$116:$F$116)</f>
        <v>0</v>
      </c>
      <c r="C1190" s="298">
        <f>B1190</f>
        <v>0</v>
      </c>
      <c r="D1190" s="273">
        <f>B193*(1-B1190)</f>
        <v>49864.368371854573</v>
      </c>
      <c r="E1190" s="273">
        <f>C193*(1-B1190)</f>
        <v>369689.81514963449</v>
      </c>
      <c r="F1190" s="273">
        <f>D193*(1-B1190)</f>
        <v>340515.48335188109</v>
      </c>
      <c r="G1190" s="273">
        <f>E193*(1-C1190)</f>
        <v>1936.9854039786185</v>
      </c>
      <c r="H1190" s="273">
        <f>F193*(1-B1190)</f>
        <v>364556.94204575109</v>
      </c>
      <c r="I1190" s="273">
        <f>G193*(1-B1190)</f>
        <v>5286.8109888675162</v>
      </c>
      <c r="J1190" s="273">
        <f>H193*(1-B1190)</f>
        <v>65191.59809982658</v>
      </c>
      <c r="K1190" s="265"/>
    </row>
    <row r="1191" spans="1:11">
      <c r="A1191" s="285" t="s">
        <v>135</v>
      </c>
      <c r="B1191" s="289">
        <f>SUMPRODUCT($B1063:$F1063,$B$116:$F$116)</f>
        <v>0.3749541673400224</v>
      </c>
      <c r="C1191" s="298">
        <f>B1191</f>
        <v>0.3749541673400224</v>
      </c>
      <c r="D1191" s="273">
        <f>B194*(1-B1191)</f>
        <v>4.5964576051422137</v>
      </c>
      <c r="E1191" s="273">
        <f>C194*(1-B1191)</f>
        <v>23.639363709103097</v>
      </c>
      <c r="F1191" s="273">
        <f>D194*(1-B1191)</f>
        <v>32.686563514515662</v>
      </c>
      <c r="G1191" s="273">
        <f>E194*(1-C1191)</f>
        <v>0.73499096651128371</v>
      </c>
      <c r="H1191" s="273">
        <f>F194*(1-B1191)</f>
        <v>391.7501851505142</v>
      </c>
      <c r="I1191" s="273">
        <f>G194*(1-B1191)</f>
        <v>0</v>
      </c>
      <c r="J1191" s="273">
        <f>H194*(1-B1191)</f>
        <v>0.87668959741180086</v>
      </c>
      <c r="K1191" s="265"/>
    </row>
    <row r="1192" spans="1:11">
      <c r="A1192" s="288" t="s">
        <v>136</v>
      </c>
      <c r="K1192" s="265"/>
    </row>
    <row r="1193" spans="1:11">
      <c r="A1193" s="285" t="s">
        <v>73</v>
      </c>
      <c r="B1193" s="289">
        <f>SUMPRODUCT($B1065:$F1065,$B$116:$F$116)</f>
        <v>0</v>
      </c>
      <c r="C1193" s="298">
        <f>B1193</f>
        <v>0</v>
      </c>
      <c r="D1193" s="273">
        <f>B196*(1-B1193)</f>
        <v>153504.23635739877</v>
      </c>
      <c r="E1193" s="273">
        <f>C196*(1-B1193)</f>
        <v>1093420.3303867856</v>
      </c>
      <c r="F1193" s="273">
        <f>D196*(1-B1193)</f>
        <v>1183755.4135911537</v>
      </c>
      <c r="G1193" s="273">
        <f>E196*(1-C1193)</f>
        <v>1060.270602740768</v>
      </c>
      <c r="H1193" s="273">
        <f>F196*(1-B1193)</f>
        <v>854296.8159186152</v>
      </c>
      <c r="I1193" s="273">
        <f>G196*(1-B1193)</f>
        <v>14165.401246932342</v>
      </c>
      <c r="J1193" s="273">
        <f>H196*(1-B1193)</f>
        <v>163805.20245465485</v>
      </c>
      <c r="K1193" s="265"/>
    </row>
    <row r="1194" spans="1:11">
      <c r="A1194" s="285" t="s">
        <v>137</v>
      </c>
      <c r="B1194" s="289">
        <f>SUMPRODUCT($B1066:$F1066,$B$116:$F$116)</f>
        <v>0.25863289422864333</v>
      </c>
      <c r="C1194" s="298">
        <f>B1194</f>
        <v>0.25863289422864333</v>
      </c>
      <c r="D1194" s="273">
        <f>B197*(1-B1194)</f>
        <v>619.46055511446639</v>
      </c>
      <c r="E1194" s="273">
        <f>C197*(1-B1194)</f>
        <v>3969.6912816175659</v>
      </c>
      <c r="F1194" s="273">
        <f>D197*(1-B1194)</f>
        <v>5489.5481767202882</v>
      </c>
      <c r="G1194" s="273">
        <f>E197*(1-C1194)</f>
        <v>5.7190373704136679</v>
      </c>
      <c r="H1194" s="273">
        <f>F197*(1-B1194)</f>
        <v>9281.2727794781404</v>
      </c>
      <c r="I1194" s="273">
        <f>G197*(1-B1194)</f>
        <v>0</v>
      </c>
      <c r="J1194" s="273">
        <f>H197*(1-B1194)</f>
        <v>190.17927200818622</v>
      </c>
      <c r="K1194" s="265"/>
    </row>
    <row r="1195" spans="1:11">
      <c r="A1195" s="288" t="s">
        <v>138</v>
      </c>
      <c r="K1195" s="265"/>
    </row>
    <row r="1196" spans="1:11">
      <c r="A1196" s="285" t="s">
        <v>93</v>
      </c>
      <c r="B1196" s="289">
        <f>SUMPRODUCT($B1068:$F1068,$B$116:$F$116)</f>
        <v>0</v>
      </c>
      <c r="C1196" s="298">
        <f>B1196</f>
        <v>0</v>
      </c>
      <c r="D1196" s="273">
        <f>B199*(1-B1196)</f>
        <v>10121.811870412395</v>
      </c>
      <c r="E1196" s="273">
        <f>C199*(1-B1196)</f>
        <v>0</v>
      </c>
      <c r="F1196" s="273">
        <f t="shared" ref="F1196:G1198" si="39">D199*(1-B1196)</f>
        <v>0</v>
      </c>
      <c r="G1196" s="273">
        <f t="shared" si="39"/>
        <v>741</v>
      </c>
      <c r="H1196" s="273">
        <f>F199*(1-B1196)</f>
        <v>0</v>
      </c>
      <c r="I1196" s="273">
        <f>G199*(1-B1196)</f>
        <v>0</v>
      </c>
      <c r="J1196" s="273">
        <f>H199*(1-B1196)</f>
        <v>0</v>
      </c>
      <c r="K1196" s="265"/>
    </row>
    <row r="1197" spans="1:11">
      <c r="A1197" s="285" t="s">
        <v>139</v>
      </c>
      <c r="B1197" s="289">
        <f>SUMPRODUCT($B1069:$F1069,$B$116:$F$116)</f>
        <v>0.37267999985613431</v>
      </c>
      <c r="C1197" s="298">
        <f>B1197</f>
        <v>0.37267999985613431</v>
      </c>
      <c r="D1197" s="273">
        <f>B200*(1-B1197)</f>
        <v>85.816196760831247</v>
      </c>
      <c r="E1197" s="273">
        <f>C200*(1-B1197)</f>
        <v>0</v>
      </c>
      <c r="F1197" s="273">
        <f t="shared" si="39"/>
        <v>0</v>
      </c>
      <c r="G1197" s="273">
        <f t="shared" si="39"/>
        <v>0</v>
      </c>
      <c r="H1197" s="273">
        <f>F200*(1-B1197)</f>
        <v>0</v>
      </c>
      <c r="I1197" s="273">
        <f>G200*(1-B1197)</f>
        <v>0</v>
      </c>
      <c r="J1197" s="273">
        <f>H200*(1-B1197)</f>
        <v>0</v>
      </c>
      <c r="K1197" s="265"/>
    </row>
    <row r="1198" spans="1:11">
      <c r="A1198" s="285" t="s">
        <v>140</v>
      </c>
      <c r="B1198" s="289">
        <f>SUMPRODUCT($B1070:$F1070,$B$116:$F$116)</f>
        <v>0.6188090826390088</v>
      </c>
      <c r="C1198" s="298">
        <f>B1198</f>
        <v>0.6188090826390088</v>
      </c>
      <c r="D1198" s="273">
        <f>B201*(1-B1198)</f>
        <v>9.04826209698731</v>
      </c>
      <c r="E1198" s="273">
        <f>C201*(1-B1198)</f>
        <v>0</v>
      </c>
      <c r="F1198" s="273">
        <f t="shared" si="39"/>
        <v>0</v>
      </c>
      <c r="G1198" s="273">
        <f t="shared" si="39"/>
        <v>0</v>
      </c>
      <c r="H1198" s="273">
        <f>F201*(1-B1198)</f>
        <v>0</v>
      </c>
      <c r="I1198" s="273">
        <f>G201*(1-B1198)</f>
        <v>0</v>
      </c>
      <c r="J1198" s="273">
        <f>H201*(1-B1198)</f>
        <v>0</v>
      </c>
      <c r="K1198" s="265"/>
    </row>
    <row r="1199" spans="1:11">
      <c r="A1199" s="288" t="s">
        <v>141</v>
      </c>
      <c r="K1199" s="265"/>
    </row>
    <row r="1200" spans="1:11">
      <c r="A1200" s="285" t="s">
        <v>94</v>
      </c>
      <c r="B1200" s="289">
        <f>SUMPRODUCT($B1072:$F1072,$B$116:$F$116)</f>
        <v>0</v>
      </c>
      <c r="C1200" s="298">
        <f>B1200</f>
        <v>0</v>
      </c>
      <c r="D1200" s="273">
        <f>B203*(1-B1200)</f>
        <v>7712.9716131438981</v>
      </c>
      <c r="E1200" s="273">
        <f>C203*(1-B1200)</f>
        <v>0</v>
      </c>
      <c r="F1200" s="273">
        <f t="shared" ref="F1200:G1202" si="40">D203*(1-B1200)</f>
        <v>0</v>
      </c>
      <c r="G1200" s="273">
        <f t="shared" si="40"/>
        <v>689</v>
      </c>
      <c r="H1200" s="273">
        <f>F203*(1-B1200)</f>
        <v>0</v>
      </c>
      <c r="I1200" s="273">
        <f>G203*(1-B1200)</f>
        <v>0</v>
      </c>
      <c r="J1200" s="273">
        <f>H203*(1-B1200)</f>
        <v>0</v>
      </c>
      <c r="K1200" s="265"/>
    </row>
    <row r="1201" spans="1:11">
      <c r="A1201" s="285" t="s">
        <v>142</v>
      </c>
      <c r="B1201" s="289">
        <f>SUMPRODUCT($B1073:$F1073,$B$116:$F$116)</f>
        <v>0.37267999985613431</v>
      </c>
      <c r="C1201" s="298">
        <f>B1201</f>
        <v>0.37267999985613431</v>
      </c>
      <c r="D1201" s="273">
        <f>B204*(1-B1201)</f>
        <v>47.467434689033823</v>
      </c>
      <c r="E1201" s="273">
        <f>C204*(1-B1201)</f>
        <v>0</v>
      </c>
      <c r="F1201" s="273">
        <f t="shared" si="40"/>
        <v>0</v>
      </c>
      <c r="G1201" s="273">
        <f t="shared" si="40"/>
        <v>0</v>
      </c>
      <c r="H1201" s="273">
        <f>F204*(1-B1201)</f>
        <v>0</v>
      </c>
      <c r="I1201" s="273">
        <f>G204*(1-B1201)</f>
        <v>0</v>
      </c>
      <c r="J1201" s="273">
        <f>H204*(1-B1201)</f>
        <v>0</v>
      </c>
      <c r="K1201" s="265"/>
    </row>
    <row r="1202" spans="1:11">
      <c r="A1202" s="285" t="s">
        <v>143</v>
      </c>
      <c r="B1202" s="289">
        <f>SUMPRODUCT($B1074:$F1074,$B$116:$F$116)</f>
        <v>0.6188090826390088</v>
      </c>
      <c r="C1202" s="298">
        <f>B1202</f>
        <v>0.6188090826390088</v>
      </c>
      <c r="D1202" s="273">
        <f>B205*(1-B1202)</f>
        <v>114.86711272030871</v>
      </c>
      <c r="E1202" s="273">
        <f>C205*(1-B1202)</f>
        <v>0</v>
      </c>
      <c r="F1202" s="273">
        <f t="shared" si="40"/>
        <v>0</v>
      </c>
      <c r="G1202" s="273">
        <f t="shared" si="40"/>
        <v>0</v>
      </c>
      <c r="H1202" s="273">
        <f>F205*(1-B1202)</f>
        <v>0</v>
      </c>
      <c r="I1202" s="273">
        <f>G205*(1-B1202)</f>
        <v>0</v>
      </c>
      <c r="J1202" s="273">
        <f>H205*(1-B1202)</f>
        <v>0</v>
      </c>
      <c r="K1202" s="265"/>
    </row>
    <row r="1203" spans="1:11">
      <c r="A1203" s="288" t="s">
        <v>144</v>
      </c>
      <c r="K1203" s="265"/>
    </row>
    <row r="1204" spans="1:11">
      <c r="A1204" s="285" t="s">
        <v>95</v>
      </c>
      <c r="B1204" s="289">
        <f>SUMPRODUCT($B1076:$F1076,$B$116:$F$116)</f>
        <v>0</v>
      </c>
      <c r="C1204" s="298">
        <f>B1204</f>
        <v>0</v>
      </c>
      <c r="D1204" s="273">
        <f>B207*(1-B1204)</f>
        <v>989.1872895940935</v>
      </c>
      <c r="E1204" s="273">
        <f>C207*(1-B1204)</f>
        <v>0</v>
      </c>
      <c r="F1204" s="273">
        <f t="shared" ref="F1204:G1206" si="41">D207*(1-B1204)</f>
        <v>0</v>
      </c>
      <c r="G1204" s="273">
        <f t="shared" si="41"/>
        <v>179</v>
      </c>
      <c r="H1204" s="273">
        <f>F207*(1-B1204)</f>
        <v>0</v>
      </c>
      <c r="I1204" s="273">
        <f>G207*(1-B1204)</f>
        <v>0</v>
      </c>
      <c r="J1204" s="273">
        <f>H207*(1-B1204)</f>
        <v>0</v>
      </c>
      <c r="K1204" s="265"/>
    </row>
    <row r="1205" spans="1:11">
      <c r="A1205" s="285" t="s">
        <v>145</v>
      </c>
      <c r="B1205" s="289">
        <f>SUMPRODUCT($B1077:$F1077,$B$116:$F$116)</f>
        <v>0.37267999985613431</v>
      </c>
      <c r="C1205" s="298">
        <f>B1205</f>
        <v>0.37267999985613431</v>
      </c>
      <c r="D1205" s="273">
        <f>B208*(1-B1205)</f>
        <v>3.2215077356991468</v>
      </c>
      <c r="E1205" s="273">
        <f>C208*(1-B1205)</f>
        <v>0</v>
      </c>
      <c r="F1205" s="273">
        <f t="shared" si="41"/>
        <v>0</v>
      </c>
      <c r="G1205" s="273">
        <f t="shared" si="41"/>
        <v>0</v>
      </c>
      <c r="H1205" s="273">
        <f>F208*(1-B1205)</f>
        <v>0</v>
      </c>
      <c r="I1205" s="273">
        <f>G208*(1-B1205)</f>
        <v>0</v>
      </c>
      <c r="J1205" s="273">
        <f>H208*(1-B1205)</f>
        <v>0</v>
      </c>
      <c r="K1205" s="265"/>
    </row>
    <row r="1206" spans="1:11">
      <c r="A1206" s="285" t="s">
        <v>146</v>
      </c>
      <c r="B1206" s="289">
        <f>SUMPRODUCT($B1078:$F1078,$B$116:$F$116)</f>
        <v>0.6188090826390088</v>
      </c>
      <c r="C1206" s="298">
        <f>B1206</f>
        <v>0.6188090826390088</v>
      </c>
      <c r="D1206" s="273">
        <f>B209*(1-B1206)</f>
        <v>1.1391489099002414</v>
      </c>
      <c r="E1206" s="273">
        <f>C209*(1-B1206)</f>
        <v>0</v>
      </c>
      <c r="F1206" s="273">
        <f t="shared" si="41"/>
        <v>0</v>
      </c>
      <c r="G1206" s="273">
        <f t="shared" si="41"/>
        <v>0</v>
      </c>
      <c r="H1206" s="273">
        <f>F209*(1-B1206)</f>
        <v>0</v>
      </c>
      <c r="I1206" s="273">
        <f>G209*(1-B1206)</f>
        <v>0</v>
      </c>
      <c r="J1206" s="273">
        <f>H209*(1-B1206)</f>
        <v>0</v>
      </c>
      <c r="K1206" s="265"/>
    </row>
    <row r="1207" spans="1:11">
      <c r="A1207" s="288" t="s">
        <v>147</v>
      </c>
      <c r="K1207" s="265"/>
    </row>
    <row r="1208" spans="1:11">
      <c r="A1208" s="285" t="s">
        <v>96</v>
      </c>
      <c r="B1208" s="289">
        <f>SUMPRODUCT($B1080:$F1080,$B$116:$F$116)</f>
        <v>0</v>
      </c>
      <c r="C1208" s="298">
        <f>B1208</f>
        <v>0</v>
      </c>
      <c r="D1208" s="273">
        <f>B211*(1-B1208)</f>
        <v>0</v>
      </c>
      <c r="E1208" s="273">
        <f>C211*(1-B1208)</f>
        <v>0</v>
      </c>
      <c r="F1208" s="273">
        <f t="shared" ref="F1208:G1210" si="42">D211*(1-B1208)</f>
        <v>0</v>
      </c>
      <c r="G1208" s="273">
        <f t="shared" si="42"/>
        <v>1</v>
      </c>
      <c r="H1208" s="273">
        <f>F211*(1-B1208)</f>
        <v>0</v>
      </c>
      <c r="I1208" s="273">
        <f>G211*(1-B1208)</f>
        <v>0</v>
      </c>
      <c r="J1208" s="273">
        <f>H211*(1-B1208)</f>
        <v>0</v>
      </c>
      <c r="K1208" s="265"/>
    </row>
    <row r="1209" spans="1:11">
      <c r="A1209" s="285" t="s">
        <v>148</v>
      </c>
      <c r="B1209" s="289">
        <f>SUMPRODUCT($B1081:$F1081,$B$116:$F$116)</f>
        <v>0.37267999985613431</v>
      </c>
      <c r="C1209" s="298">
        <f>B1209</f>
        <v>0.37267999985613431</v>
      </c>
      <c r="D1209" s="273">
        <f>B212*(1-B1209)</f>
        <v>0</v>
      </c>
      <c r="E1209" s="273">
        <f>C212*(1-B1209)</f>
        <v>0</v>
      </c>
      <c r="F1209" s="273">
        <f t="shared" si="42"/>
        <v>0</v>
      </c>
      <c r="G1209" s="273">
        <f t="shared" si="42"/>
        <v>0</v>
      </c>
      <c r="H1209" s="273">
        <f>F212*(1-B1209)</f>
        <v>0</v>
      </c>
      <c r="I1209" s="273">
        <f>G212*(1-B1209)</f>
        <v>0</v>
      </c>
      <c r="J1209" s="273">
        <f>H212*(1-B1209)</f>
        <v>0</v>
      </c>
      <c r="K1209" s="265"/>
    </row>
    <row r="1210" spans="1:11">
      <c r="A1210" s="285" t="s">
        <v>149</v>
      </c>
      <c r="B1210" s="289">
        <f>SUMPRODUCT($B1082:$F1082,$B$116:$F$116)</f>
        <v>0.6188090826390088</v>
      </c>
      <c r="C1210" s="298">
        <f>B1210</f>
        <v>0.6188090826390088</v>
      </c>
      <c r="D1210" s="273">
        <f>B213*(1-B1210)</f>
        <v>0</v>
      </c>
      <c r="E1210" s="273">
        <f>C213*(1-B1210)</f>
        <v>0</v>
      </c>
      <c r="F1210" s="273">
        <f t="shared" si="42"/>
        <v>0</v>
      </c>
      <c r="G1210" s="273">
        <f t="shared" si="42"/>
        <v>0</v>
      </c>
      <c r="H1210" s="273">
        <f>F213*(1-B1210)</f>
        <v>0</v>
      </c>
      <c r="I1210" s="273">
        <f>G213*(1-B1210)</f>
        <v>0</v>
      </c>
      <c r="J1210" s="273">
        <f>H213*(1-B1210)</f>
        <v>0</v>
      </c>
      <c r="K1210" s="265"/>
    </row>
    <row r="1211" spans="1:11">
      <c r="A1211" s="288" t="s">
        <v>150</v>
      </c>
      <c r="K1211" s="265"/>
    </row>
    <row r="1212" spans="1:11">
      <c r="A1212" s="285" t="s">
        <v>97</v>
      </c>
      <c r="B1212" s="289">
        <f>SUMPRODUCT($B1084:$F1084,$B$116:$F$116)</f>
        <v>0</v>
      </c>
      <c r="C1212" s="298">
        <f>B1212</f>
        <v>0</v>
      </c>
      <c r="D1212" s="273">
        <f>B215*(1-B1212)</f>
        <v>4105.9859496450399</v>
      </c>
      <c r="E1212" s="273">
        <f>C215*(1-B1212)</f>
        <v>29544.034960210251</v>
      </c>
      <c r="F1212" s="273">
        <f t="shared" ref="F1212:G1214" si="43">D215*(1-B1212)</f>
        <v>79785.804627936566</v>
      </c>
      <c r="G1212" s="273">
        <f t="shared" si="43"/>
        <v>27.444162911866147</v>
      </c>
      <c r="H1212" s="273">
        <f>F215*(1-B1212)</f>
        <v>0</v>
      </c>
      <c r="I1212" s="273">
        <f>G215*(1-B1212)</f>
        <v>0</v>
      </c>
      <c r="J1212" s="273">
        <f>H215*(1-B1212)</f>
        <v>0</v>
      </c>
      <c r="K1212" s="265"/>
    </row>
    <row r="1213" spans="1:11">
      <c r="A1213" s="285" t="s">
        <v>151</v>
      </c>
      <c r="B1213" s="289">
        <f>SUMPRODUCT($B1085:$F1085,$B$116:$F$116)</f>
        <v>0.37267999985613431</v>
      </c>
      <c r="C1213" s="298">
        <f>B1213</f>
        <v>0.37267999985613431</v>
      </c>
      <c r="D1213" s="273">
        <f>B216*(1-B1213)</f>
        <v>0</v>
      </c>
      <c r="E1213" s="273">
        <f>C216*(1-B1213)</f>
        <v>0</v>
      </c>
      <c r="F1213" s="273">
        <f t="shared" si="43"/>
        <v>0</v>
      </c>
      <c r="G1213" s="273">
        <f t="shared" si="43"/>
        <v>0</v>
      </c>
      <c r="H1213" s="273">
        <f>F216*(1-B1213)</f>
        <v>0</v>
      </c>
      <c r="I1213" s="273">
        <f>G216*(1-B1213)</f>
        <v>0</v>
      </c>
      <c r="J1213" s="273">
        <f>H216*(1-B1213)</f>
        <v>0</v>
      </c>
      <c r="K1213" s="265"/>
    </row>
    <row r="1214" spans="1:11">
      <c r="A1214" s="285" t="s">
        <v>152</v>
      </c>
      <c r="B1214" s="289">
        <f>SUMPRODUCT($B1086:$F1086,$B$116:$F$116)</f>
        <v>0.6188090826390088</v>
      </c>
      <c r="C1214" s="298">
        <f>B1214</f>
        <v>0.6188090826390088</v>
      </c>
      <c r="D1214" s="273">
        <f>B217*(1-B1214)</f>
        <v>0.60329129005633397</v>
      </c>
      <c r="E1214" s="273">
        <f>C217*(1-B1214)</f>
        <v>2.1741385071960555</v>
      </c>
      <c r="F1214" s="273">
        <f t="shared" si="43"/>
        <v>13.43907052149161</v>
      </c>
      <c r="G1214" s="273">
        <f t="shared" si="43"/>
        <v>0.44824213863512019</v>
      </c>
      <c r="H1214" s="273">
        <f>F217*(1-B1214)</f>
        <v>0</v>
      </c>
      <c r="I1214" s="273">
        <f>G217*(1-B1214)</f>
        <v>0</v>
      </c>
      <c r="J1214" s="273">
        <f>H217*(1-B1214)</f>
        <v>0</v>
      </c>
      <c r="K1214" s="265"/>
    </row>
    <row r="1215" spans="1:11">
      <c r="A1215" s="288" t="s">
        <v>1179</v>
      </c>
      <c r="K1215" s="265"/>
    </row>
    <row r="1216" spans="1:11">
      <c r="A1216" s="285" t="s">
        <v>1176</v>
      </c>
      <c r="B1216" s="289">
        <f>SUMPRODUCT($B1088:$F1088,$B$116:$F$116)</f>
        <v>0</v>
      </c>
      <c r="C1216" s="298">
        <f>B1216</f>
        <v>0</v>
      </c>
      <c r="D1216" s="273">
        <f>B219*(1-B1216)</f>
        <v>3214.7578266896548</v>
      </c>
      <c r="E1216" s="273">
        <f>C219*(1-B1216)</f>
        <v>0</v>
      </c>
      <c r="F1216" s="273">
        <f t="shared" ref="F1216:G1218" si="44">D219*(1-B1216)</f>
        <v>0</v>
      </c>
      <c r="G1216" s="273">
        <f t="shared" si="44"/>
        <v>286</v>
      </c>
      <c r="H1216" s="273">
        <f>F219*(1-B1216)</f>
        <v>0</v>
      </c>
      <c r="I1216" s="273">
        <f>G219*(1-B1216)</f>
        <v>0</v>
      </c>
      <c r="J1216" s="273">
        <f>H219*(1-B1216)</f>
        <v>0</v>
      </c>
      <c r="K1216" s="265"/>
    </row>
    <row r="1217" spans="1:11">
      <c r="A1217" s="285" t="s">
        <v>1173</v>
      </c>
      <c r="B1217" s="289">
        <f>SUMPRODUCT($B1089:$F1089,$B$116:$F$116)</f>
        <v>0</v>
      </c>
      <c r="C1217" s="297">
        <v>1</v>
      </c>
      <c r="D1217" s="273">
        <f>B220*(1-B1217)</f>
        <v>132.89592165517243</v>
      </c>
      <c r="E1217" s="273">
        <f>C220*(1-B1217)</f>
        <v>0</v>
      </c>
      <c r="F1217" s="273">
        <f t="shared" si="44"/>
        <v>0</v>
      </c>
      <c r="G1217" s="273">
        <f t="shared" si="44"/>
        <v>0</v>
      </c>
      <c r="H1217" s="273">
        <f>F220*(1-B1217)</f>
        <v>0</v>
      </c>
      <c r="I1217" s="273">
        <f>G220*(1-B1217)</f>
        <v>0</v>
      </c>
      <c r="J1217" s="273">
        <f>H220*(1-B1217)</f>
        <v>0</v>
      </c>
      <c r="K1217" s="265"/>
    </row>
    <row r="1218" spans="1:11">
      <c r="A1218" s="285" t="s">
        <v>1170</v>
      </c>
      <c r="B1218" s="289">
        <f>SUMPRODUCT($B1090:$F1090,$B$116:$F$116)</f>
        <v>0</v>
      </c>
      <c r="C1218" s="297">
        <v>1</v>
      </c>
      <c r="D1218" s="273">
        <f>B221*(1-B1218)</f>
        <v>0</v>
      </c>
      <c r="E1218" s="273">
        <f>C221*(1-B1218)</f>
        <v>0</v>
      </c>
      <c r="F1218" s="273">
        <f t="shared" si="44"/>
        <v>0</v>
      </c>
      <c r="G1218" s="273">
        <f t="shared" si="44"/>
        <v>0</v>
      </c>
      <c r="H1218" s="273">
        <f>F221*(1-B1218)</f>
        <v>0</v>
      </c>
      <c r="I1218" s="273">
        <f>G221*(1-B1218)</f>
        <v>0</v>
      </c>
      <c r="J1218" s="273">
        <f>H221*(1-B1218)</f>
        <v>0</v>
      </c>
      <c r="K1218" s="265"/>
    </row>
    <row r="1219" spans="1:11">
      <c r="A1219" s="288" t="s">
        <v>153</v>
      </c>
      <c r="K1219" s="265"/>
    </row>
    <row r="1220" spans="1:11">
      <c r="A1220" s="285" t="s">
        <v>62</v>
      </c>
      <c r="B1220" s="289">
        <f>SUMPRODUCT($B1092:$F1092,$B$116:$F$116)</f>
        <v>0</v>
      </c>
      <c r="C1220" s="298">
        <f>B1220</f>
        <v>0</v>
      </c>
      <c r="D1220" s="273">
        <f>B223*(1-B1220)</f>
        <v>92.074856879310332</v>
      </c>
      <c r="E1220" s="273">
        <f>C223*(1-B1220)</f>
        <v>0</v>
      </c>
      <c r="F1220" s="273">
        <f>D223*(1-B1220)</f>
        <v>0</v>
      </c>
      <c r="G1220" s="273">
        <f>E223*(1-C1220)</f>
        <v>1</v>
      </c>
      <c r="H1220" s="273">
        <f>F223*(1-B1220)</f>
        <v>0</v>
      </c>
      <c r="I1220" s="273">
        <f>G223*(1-B1220)</f>
        <v>0</v>
      </c>
      <c r="J1220" s="273">
        <f>H223*(1-B1220)</f>
        <v>0</v>
      </c>
      <c r="K1220" s="265"/>
    </row>
    <row r="1221" spans="1:11">
      <c r="A1221" s="285" t="s">
        <v>154</v>
      </c>
      <c r="B1221" s="289">
        <f>SUMPRODUCT($B1093:$F1093,$B$116:$F$116)</f>
        <v>0</v>
      </c>
      <c r="C1221" s="297">
        <v>1</v>
      </c>
      <c r="D1221" s="273">
        <f>B224*(1-B1221)</f>
        <v>0</v>
      </c>
      <c r="E1221" s="273">
        <f>C224*(1-B1221)</f>
        <v>0</v>
      </c>
      <c r="F1221" s="273">
        <f>D224*(1-B1221)</f>
        <v>0</v>
      </c>
      <c r="G1221" s="273">
        <f>E224*(1-C1221)</f>
        <v>0</v>
      </c>
      <c r="H1221" s="273">
        <f>F224*(1-B1221)</f>
        <v>0</v>
      </c>
      <c r="I1221" s="273">
        <f>G224*(1-B1221)</f>
        <v>0</v>
      </c>
      <c r="J1221" s="273">
        <f>H224*(1-B1221)</f>
        <v>0</v>
      </c>
      <c r="K1221" s="265"/>
    </row>
    <row r="1222" spans="1:11">
      <c r="A1222" s="288" t="s">
        <v>155</v>
      </c>
      <c r="K1222" s="265"/>
    </row>
    <row r="1223" spans="1:11">
      <c r="A1223" s="285" t="s">
        <v>63</v>
      </c>
      <c r="B1223" s="289">
        <f>SUMPRODUCT($B1095:$F1095,$B$116:$F$116)</f>
        <v>0</v>
      </c>
      <c r="C1223" s="298">
        <f>B1223</f>
        <v>0</v>
      </c>
      <c r="D1223" s="273">
        <f>B226*(1-B1223)</f>
        <v>78529.095040948305</v>
      </c>
      <c r="E1223" s="273">
        <f>C226*(1-B1223)</f>
        <v>0</v>
      </c>
      <c r="F1223" s="273">
        <f t="shared" ref="F1223:G1225" si="45">D226*(1-B1223)</f>
        <v>0</v>
      </c>
      <c r="G1223" s="273">
        <f t="shared" si="45"/>
        <v>887.02632534246584</v>
      </c>
      <c r="H1223" s="273">
        <f>F226*(1-B1223)</f>
        <v>0</v>
      </c>
      <c r="I1223" s="273">
        <f>G226*(1-B1223)</f>
        <v>0</v>
      </c>
      <c r="J1223" s="273">
        <f>H226*(1-B1223)</f>
        <v>6221.8592215431045</v>
      </c>
      <c r="K1223" s="265"/>
    </row>
    <row r="1224" spans="1:11">
      <c r="A1224" s="285" t="s">
        <v>156</v>
      </c>
      <c r="B1224" s="289">
        <f>SUMPRODUCT($B1096:$F1096,$B$116:$F$116)</f>
        <v>0</v>
      </c>
      <c r="C1224" s="297">
        <v>1</v>
      </c>
      <c r="D1224" s="273">
        <f>B227*(1-B1224)</f>
        <v>0</v>
      </c>
      <c r="E1224" s="273">
        <f>C227*(1-B1224)</f>
        <v>0</v>
      </c>
      <c r="F1224" s="273">
        <f t="shared" si="45"/>
        <v>0</v>
      </c>
      <c r="G1224" s="273">
        <f t="shared" si="45"/>
        <v>0</v>
      </c>
      <c r="H1224" s="273">
        <f>F227*(1-B1224)</f>
        <v>0</v>
      </c>
      <c r="I1224" s="273">
        <f>G227*(1-B1224)</f>
        <v>0</v>
      </c>
      <c r="J1224" s="273">
        <f>H227*(1-B1224)</f>
        <v>0</v>
      </c>
      <c r="K1224" s="265"/>
    </row>
    <row r="1225" spans="1:11">
      <c r="A1225" s="285" t="s">
        <v>157</v>
      </c>
      <c r="B1225" s="289">
        <f>SUMPRODUCT($B1097:$F1097,$B$116:$F$116)</f>
        <v>0</v>
      </c>
      <c r="C1225" s="297">
        <v>1</v>
      </c>
      <c r="D1225" s="273">
        <f>B228*(1-B1225)</f>
        <v>1158.4981509517236</v>
      </c>
      <c r="E1225" s="273">
        <f>C228*(1-B1225)</f>
        <v>0</v>
      </c>
      <c r="F1225" s="273">
        <f t="shared" si="45"/>
        <v>0</v>
      </c>
      <c r="G1225" s="273">
        <f t="shared" si="45"/>
        <v>0</v>
      </c>
      <c r="H1225" s="273">
        <f>F228*(1-B1225)</f>
        <v>0</v>
      </c>
      <c r="I1225" s="273">
        <f>G228*(1-B1225)</f>
        <v>0</v>
      </c>
      <c r="J1225" s="273">
        <f>H228*(1-B1225)</f>
        <v>14.619248242758623</v>
      </c>
      <c r="K1225" s="265"/>
    </row>
    <row r="1226" spans="1:11">
      <c r="A1226" s="288" t="s">
        <v>1559</v>
      </c>
      <c r="K1226" s="265"/>
    </row>
    <row r="1227" spans="1:11">
      <c r="A1227" s="285" t="s">
        <v>1516</v>
      </c>
      <c r="B1227" s="289">
        <f>SUMPRODUCT($B1099:$F1099,$B$116:$F$116)</f>
        <v>0</v>
      </c>
      <c r="C1227" s="298">
        <f>B1227</f>
        <v>0</v>
      </c>
      <c r="D1227" s="273">
        <f>B230*(1-B1227)</f>
        <v>0</v>
      </c>
      <c r="E1227" s="273">
        <f>C230*(1-B1227)</f>
        <v>0</v>
      </c>
      <c r="F1227" s="273">
        <f>D230*(1-B1227)</f>
        <v>0</v>
      </c>
      <c r="G1227" s="273">
        <f>E230*(1-C1227)</f>
        <v>0</v>
      </c>
      <c r="H1227" s="273">
        <f>F230*(1-B1227)</f>
        <v>0</v>
      </c>
      <c r="I1227" s="273">
        <f>G230*(1-B1227)</f>
        <v>0</v>
      </c>
      <c r="J1227" s="273">
        <f>H230*(1-B1227)</f>
        <v>0</v>
      </c>
      <c r="K1227" s="265"/>
    </row>
    <row r="1228" spans="1:11">
      <c r="A1228" s="288" t="s">
        <v>158</v>
      </c>
      <c r="K1228" s="265"/>
    </row>
    <row r="1229" spans="1:11">
      <c r="A1229" s="285" t="s">
        <v>64</v>
      </c>
      <c r="B1229" s="289">
        <f>SUMPRODUCT($B1101:$F1101,$B$116:$F$116)</f>
        <v>0</v>
      </c>
      <c r="C1229" s="298">
        <f>B1229</f>
        <v>0</v>
      </c>
      <c r="D1229" s="273">
        <f>B232*(1-B1229)</f>
        <v>150.22435028789201</v>
      </c>
      <c r="E1229" s="273">
        <f>C232*(1-B1229)</f>
        <v>933.01718610068747</v>
      </c>
      <c r="F1229" s="273">
        <f t="shared" ref="F1229:G1231" si="46">D232*(1-B1229)</f>
        <v>1215.9778554005959</v>
      </c>
      <c r="G1229" s="273">
        <f t="shared" si="46"/>
        <v>16.428914383561644</v>
      </c>
      <c r="H1229" s="273">
        <f>F232*(1-B1229)</f>
        <v>0</v>
      </c>
      <c r="I1229" s="273">
        <f>G232*(1-B1229)</f>
        <v>0</v>
      </c>
      <c r="J1229" s="273">
        <f>H232*(1-B1229)</f>
        <v>631.56368132758632</v>
      </c>
      <c r="K1229" s="265"/>
    </row>
    <row r="1230" spans="1:11">
      <c r="A1230" s="285" t="s">
        <v>159</v>
      </c>
      <c r="B1230" s="289">
        <f>SUMPRODUCT($B1102:$F1102,$B$116:$F$116)</f>
        <v>0</v>
      </c>
      <c r="C1230" s="297">
        <v>1</v>
      </c>
      <c r="D1230" s="273">
        <f>B233*(1-B1230)</f>
        <v>0</v>
      </c>
      <c r="E1230" s="273">
        <f>C233*(1-B1230)</f>
        <v>0</v>
      </c>
      <c r="F1230" s="273">
        <f t="shared" si="46"/>
        <v>0</v>
      </c>
      <c r="G1230" s="273">
        <f t="shared" si="46"/>
        <v>0</v>
      </c>
      <c r="H1230" s="273">
        <f>F233*(1-B1230)</f>
        <v>0</v>
      </c>
      <c r="I1230" s="273">
        <f>G233*(1-B1230)</f>
        <v>0</v>
      </c>
      <c r="J1230" s="273">
        <f>H233*(1-B1230)</f>
        <v>0</v>
      </c>
      <c r="K1230" s="265"/>
    </row>
    <row r="1231" spans="1:11">
      <c r="A1231" s="285" t="s">
        <v>160</v>
      </c>
      <c r="B1231" s="289">
        <f>SUMPRODUCT($B1103:$F1103,$B$116:$F$116)</f>
        <v>0</v>
      </c>
      <c r="C1231" s="297">
        <v>1</v>
      </c>
      <c r="D1231" s="273">
        <f>B234*(1-B1231)</f>
        <v>0</v>
      </c>
      <c r="E1231" s="273">
        <f>C234*(1-B1231)</f>
        <v>0</v>
      </c>
      <c r="F1231" s="273">
        <f t="shared" si="46"/>
        <v>0</v>
      </c>
      <c r="G1231" s="273">
        <f t="shared" si="46"/>
        <v>0</v>
      </c>
      <c r="H1231" s="273">
        <f>F234*(1-B1231)</f>
        <v>0</v>
      </c>
      <c r="I1231" s="273">
        <f>G234*(1-B1231)</f>
        <v>0</v>
      </c>
      <c r="J1231" s="273">
        <f>H234*(1-B1231)</f>
        <v>0</v>
      </c>
      <c r="K1231" s="265"/>
    </row>
    <row r="1232" spans="1:11">
      <c r="A1232" s="288" t="s">
        <v>1560</v>
      </c>
      <c r="K1232" s="265"/>
    </row>
    <row r="1233" spans="1:11">
      <c r="A1233" s="285" t="s">
        <v>1517</v>
      </c>
      <c r="B1233" s="289">
        <f>SUMPRODUCT($B1105:$F1105,$B$116:$F$116)</f>
        <v>0</v>
      </c>
      <c r="C1233" s="298">
        <f>B1233</f>
        <v>0</v>
      </c>
      <c r="D1233" s="273">
        <f>B236*(1-B1233)</f>
        <v>0</v>
      </c>
      <c r="E1233" s="273">
        <f>C236*(1-B1233)</f>
        <v>0</v>
      </c>
      <c r="F1233" s="273">
        <f>D236*(1-B1233)</f>
        <v>0</v>
      </c>
      <c r="G1233" s="273">
        <f>E236*(1-C1233)</f>
        <v>0</v>
      </c>
      <c r="H1233" s="273">
        <f>F236*(1-B1233)</f>
        <v>0</v>
      </c>
      <c r="I1233" s="273">
        <f>G236*(1-B1233)</f>
        <v>0</v>
      </c>
      <c r="J1233" s="273">
        <f>H236*(1-B1233)</f>
        <v>0</v>
      </c>
      <c r="K1233" s="265"/>
    </row>
    <row r="1234" spans="1:11">
      <c r="A1234" s="288" t="s">
        <v>161</v>
      </c>
      <c r="K1234" s="265"/>
    </row>
    <row r="1235" spans="1:11">
      <c r="A1235" s="285" t="s">
        <v>65</v>
      </c>
      <c r="B1235" s="289">
        <f>SUMPRODUCT($B1107:$F1107,$B$116:$F$116)</f>
        <v>0</v>
      </c>
      <c r="C1235" s="298">
        <f>B1235</f>
        <v>0</v>
      </c>
      <c r="D1235" s="273">
        <f>B238*(1-B1235)</f>
        <v>13040.742602439654</v>
      </c>
      <c r="E1235" s="273">
        <f>C238*(1-B1235)</f>
        <v>0</v>
      </c>
      <c r="F1235" s="273">
        <f>D238*(1-B1235)</f>
        <v>0</v>
      </c>
      <c r="G1235" s="273">
        <f>E238*(1-C1235)</f>
        <v>121.63811301369863</v>
      </c>
      <c r="H1235" s="273">
        <f>F238*(1-B1235)</f>
        <v>0</v>
      </c>
      <c r="I1235" s="273">
        <f>G238*(1-B1235)</f>
        <v>0</v>
      </c>
      <c r="J1235" s="273">
        <f>H238*(1-B1235)</f>
        <v>1632.6222186810344</v>
      </c>
      <c r="K1235" s="265"/>
    </row>
    <row r="1236" spans="1:11">
      <c r="A1236" s="285" t="s">
        <v>162</v>
      </c>
      <c r="B1236" s="289">
        <f>SUMPRODUCT($B1108:$F1108,$B$116:$F$116)</f>
        <v>0</v>
      </c>
      <c r="C1236" s="297">
        <v>1</v>
      </c>
      <c r="D1236" s="273">
        <f>B239*(1-B1236)</f>
        <v>0</v>
      </c>
      <c r="E1236" s="273">
        <f>C239*(1-B1236)</f>
        <v>0</v>
      </c>
      <c r="F1236" s="273">
        <f>D239*(1-B1236)</f>
        <v>0</v>
      </c>
      <c r="G1236" s="273">
        <f>E239*(1-C1236)</f>
        <v>0</v>
      </c>
      <c r="H1236" s="273">
        <f>F239*(1-B1236)</f>
        <v>0</v>
      </c>
      <c r="I1236" s="273">
        <f>G239*(1-B1236)</f>
        <v>0</v>
      </c>
      <c r="J1236" s="273">
        <f>H239*(1-B1236)</f>
        <v>0</v>
      </c>
      <c r="K1236" s="265"/>
    </row>
    <row r="1237" spans="1:11">
      <c r="A1237" s="288" t="s">
        <v>1561</v>
      </c>
      <c r="K1237" s="265"/>
    </row>
    <row r="1238" spans="1:11">
      <c r="A1238" s="285" t="s">
        <v>1518</v>
      </c>
      <c r="B1238" s="289">
        <f>SUMPRODUCT($B1110:$F1110,$B$116:$F$116)</f>
        <v>0</v>
      </c>
      <c r="C1238" s="298">
        <f>B1238</f>
        <v>0</v>
      </c>
      <c r="D1238" s="273">
        <f>B241*(1-B1238)</f>
        <v>0</v>
      </c>
      <c r="E1238" s="273">
        <f>C241*(1-B1238)</f>
        <v>0</v>
      </c>
      <c r="F1238" s="273">
        <f>D241*(1-B1238)</f>
        <v>0</v>
      </c>
      <c r="G1238" s="273">
        <f>E241*(1-C1238)</f>
        <v>0</v>
      </c>
      <c r="H1238" s="273">
        <f>F241*(1-B1238)</f>
        <v>0</v>
      </c>
      <c r="I1238" s="273">
        <f>G241*(1-B1238)</f>
        <v>0</v>
      </c>
      <c r="J1238" s="273">
        <f>H241*(1-B1238)</f>
        <v>0</v>
      </c>
      <c r="K1238" s="265"/>
    </row>
    <row r="1239" spans="1:11">
      <c r="A1239" s="288" t="s">
        <v>163</v>
      </c>
      <c r="K1239" s="265"/>
    </row>
    <row r="1240" spans="1:11">
      <c r="A1240" s="285" t="s">
        <v>66</v>
      </c>
      <c r="B1240" s="289">
        <f>SUMPRODUCT($B1112:$F1112,$B$116:$F$116)</f>
        <v>0</v>
      </c>
      <c r="C1240" s="298">
        <f>B1240</f>
        <v>0</v>
      </c>
      <c r="D1240" s="273">
        <f>B243*(1-B1240)</f>
        <v>262.77834065563309</v>
      </c>
      <c r="E1240" s="273">
        <f>C243*(1-B1240)</f>
        <v>1416.430282521459</v>
      </c>
      <c r="F1240" s="273">
        <f>D243*(1-B1240)</f>
        <v>2413.7732126878327</v>
      </c>
      <c r="G1240" s="273">
        <f>E243*(1-C1240)</f>
        <v>12.478949999999999</v>
      </c>
      <c r="H1240" s="273">
        <f>F243*(1-B1240)</f>
        <v>0</v>
      </c>
      <c r="I1240" s="273">
        <f>G243*(1-B1240)</f>
        <v>0</v>
      </c>
      <c r="J1240" s="273">
        <f>H243*(1-B1240)</f>
        <v>606.8858033017242</v>
      </c>
      <c r="K1240" s="265"/>
    </row>
    <row r="1241" spans="1:11">
      <c r="A1241" s="285" t="s">
        <v>164</v>
      </c>
      <c r="B1241" s="289">
        <f>SUMPRODUCT($B1113:$F1113,$B$116:$F$116)</f>
        <v>0</v>
      </c>
      <c r="C1241" s="297">
        <v>1</v>
      </c>
      <c r="D1241" s="273">
        <f>B244*(1-B1241)</f>
        <v>0</v>
      </c>
      <c r="E1241" s="273">
        <f>C244*(1-B1241)</f>
        <v>0</v>
      </c>
      <c r="F1241" s="273">
        <f>D244*(1-B1241)</f>
        <v>0</v>
      </c>
      <c r="G1241" s="273">
        <f>E244*(1-C1241)</f>
        <v>0</v>
      </c>
      <c r="H1241" s="273">
        <f>F244*(1-B1241)</f>
        <v>0</v>
      </c>
      <c r="I1241" s="273">
        <f>G244*(1-B1241)</f>
        <v>0</v>
      </c>
      <c r="J1241" s="273">
        <f>H244*(1-B1241)</f>
        <v>0</v>
      </c>
      <c r="K1241" s="265"/>
    </row>
    <row r="1242" spans="1:11">
      <c r="A1242" s="288" t="s">
        <v>1562</v>
      </c>
      <c r="K1242" s="265"/>
    </row>
    <row r="1243" spans="1:11">
      <c r="A1243" s="285" t="s">
        <v>1519</v>
      </c>
      <c r="B1243" s="289">
        <f>SUMPRODUCT($B1115:$F1115,$B$116:$F$116)</f>
        <v>0</v>
      </c>
      <c r="C1243" s="298">
        <f>B1243</f>
        <v>0</v>
      </c>
      <c r="D1243" s="273">
        <f>B246*(1-B1243)</f>
        <v>0</v>
      </c>
      <c r="E1243" s="273">
        <f>C246*(1-B1243)</f>
        <v>0</v>
      </c>
      <c r="F1243" s="273">
        <f>D246*(1-B1243)</f>
        <v>0</v>
      </c>
      <c r="G1243" s="273">
        <f>E246*(1-C1243)</f>
        <v>0</v>
      </c>
      <c r="H1243" s="273">
        <f>F246*(1-B1243)</f>
        <v>0</v>
      </c>
      <c r="I1243" s="273">
        <f>G246*(1-B1243)</f>
        <v>0</v>
      </c>
      <c r="J1243" s="273">
        <f>H246*(1-B1243)</f>
        <v>0</v>
      </c>
      <c r="K1243" s="265"/>
    </row>
    <row r="1244" spans="1:11">
      <c r="A1244" s="288" t="s">
        <v>165</v>
      </c>
      <c r="K1244" s="265"/>
    </row>
    <row r="1245" spans="1:11">
      <c r="A1245" s="285" t="s">
        <v>74</v>
      </c>
      <c r="B1245" s="289">
        <f>SUMPRODUCT($B1117:$F1117,$B$116:$F$116)</f>
        <v>0</v>
      </c>
      <c r="C1245" s="298">
        <f>B1245</f>
        <v>0</v>
      </c>
      <c r="D1245" s="273">
        <f>B248*(1-B1245)</f>
        <v>408798.58803053456</v>
      </c>
      <c r="E1245" s="273">
        <f>C248*(1-B1245)</f>
        <v>0</v>
      </c>
      <c r="F1245" s="273">
        <f>D248*(1-B1245)</f>
        <v>0</v>
      </c>
      <c r="G1245" s="273">
        <f>E248*(1-C1245)</f>
        <v>237.99717534246571</v>
      </c>
      <c r="H1245" s="273">
        <f>F248*(1-B1245)</f>
        <v>0</v>
      </c>
      <c r="I1245" s="273">
        <f>G248*(1-B1245)</f>
        <v>0</v>
      </c>
      <c r="J1245" s="273">
        <f>H248*(1-B1245)</f>
        <v>3870.4537602500009</v>
      </c>
      <c r="K1245" s="265"/>
    </row>
    <row r="1246" spans="1:11">
      <c r="A1246" s="285" t="s">
        <v>166</v>
      </c>
      <c r="B1246" s="289">
        <f>SUMPRODUCT($B1118:$F1118,$B$116:$F$116)</f>
        <v>0</v>
      </c>
      <c r="C1246" s="297">
        <v>1</v>
      </c>
      <c r="D1246" s="273">
        <f>B249*(1-B1246)</f>
        <v>28.965318951724136</v>
      </c>
      <c r="E1246" s="273">
        <f>C249*(1-B1246)</f>
        <v>0</v>
      </c>
      <c r="F1246" s="273">
        <f>D249*(1-B1246)</f>
        <v>0</v>
      </c>
      <c r="G1246" s="273">
        <f>E249*(1-C1246)</f>
        <v>0</v>
      </c>
      <c r="H1246" s="273">
        <f>F249*(1-B1246)</f>
        <v>0</v>
      </c>
      <c r="I1246" s="273">
        <f>G249*(1-B1246)</f>
        <v>0</v>
      </c>
      <c r="J1246" s="273">
        <f>H249*(1-B1246)</f>
        <v>0</v>
      </c>
      <c r="K1246" s="265"/>
    </row>
    <row r="1247" spans="1:11">
      <c r="A1247" s="288" t="s">
        <v>1563</v>
      </c>
      <c r="K1247" s="265"/>
    </row>
    <row r="1248" spans="1:11">
      <c r="A1248" s="285" t="s">
        <v>1520</v>
      </c>
      <c r="B1248" s="289">
        <f>SUMPRODUCT($B1120:$F1120,$B$116:$F$116)</f>
        <v>0</v>
      </c>
      <c r="C1248" s="298">
        <f>B1248</f>
        <v>0</v>
      </c>
      <c r="D1248" s="273">
        <f>B251*(1-B1248)</f>
        <v>0</v>
      </c>
      <c r="E1248" s="273">
        <f>C251*(1-B1248)</f>
        <v>0</v>
      </c>
      <c r="F1248" s="273">
        <f>D251*(1-B1248)</f>
        <v>0</v>
      </c>
      <c r="G1248" s="273">
        <f>E251*(1-C1248)</f>
        <v>0</v>
      </c>
      <c r="H1248" s="273">
        <f>F251*(1-B1248)</f>
        <v>0</v>
      </c>
      <c r="I1248" s="273">
        <f>G251*(1-B1248)</f>
        <v>0</v>
      </c>
      <c r="J1248" s="273">
        <f>H251*(1-B1248)</f>
        <v>0</v>
      </c>
      <c r="K1248" s="265"/>
    </row>
    <row r="1249" spans="1:11">
      <c r="A1249" s="288" t="s">
        <v>167</v>
      </c>
      <c r="K1249" s="265"/>
    </row>
    <row r="1250" spans="1:11">
      <c r="A1250" s="285" t="s">
        <v>75</v>
      </c>
      <c r="B1250" s="289">
        <f>SUMPRODUCT($B1122:$F1122,$B$116:$F$116)</f>
        <v>0</v>
      </c>
      <c r="C1250" s="298">
        <f>B1250</f>
        <v>0</v>
      </c>
      <c r="D1250" s="273">
        <f>B253*(1-B1250)</f>
        <v>18175.24295154327</v>
      </c>
      <c r="E1250" s="273">
        <f>C253*(1-B1250)</f>
        <v>96563.406957456726</v>
      </c>
      <c r="F1250" s="273">
        <f>D253*(1-B1250)</f>
        <v>133398.79562824525</v>
      </c>
      <c r="G1250" s="273">
        <f>E253*(1-C1250)</f>
        <v>70.943264383561655</v>
      </c>
      <c r="H1250" s="273">
        <f>F253*(1-B1250)</f>
        <v>0</v>
      </c>
      <c r="I1250" s="273">
        <f>G253*(1-B1250)</f>
        <v>0</v>
      </c>
      <c r="J1250" s="273">
        <f>H253*(1-B1250)</f>
        <v>2452.5003561982758</v>
      </c>
      <c r="K1250" s="265"/>
    </row>
    <row r="1251" spans="1:11">
      <c r="A1251" s="285" t="s">
        <v>168</v>
      </c>
      <c r="B1251" s="289">
        <f>SUMPRODUCT($B1123:$F1123,$B$116:$F$116)</f>
        <v>0</v>
      </c>
      <c r="C1251" s="297">
        <v>1</v>
      </c>
      <c r="D1251" s="273">
        <f>B254*(1-B1251)</f>
        <v>6.9664922394678516E-2</v>
      </c>
      <c r="E1251" s="273">
        <f>C254*(1-B1251)</f>
        <v>0.88856101305223611</v>
      </c>
      <c r="F1251" s="273">
        <f>D254*(1-B1251)</f>
        <v>2.9569237396821908</v>
      </c>
      <c r="G1251" s="273">
        <f>E254*(1-C1251)</f>
        <v>0</v>
      </c>
      <c r="H1251" s="273">
        <f>F254*(1-B1251)</f>
        <v>0</v>
      </c>
      <c r="I1251" s="273">
        <f>G254*(1-B1251)</f>
        <v>0</v>
      </c>
      <c r="J1251" s="273">
        <f>H254*(1-B1251)</f>
        <v>0.9497207172413793</v>
      </c>
      <c r="K1251" s="265"/>
    </row>
    <row r="1252" spans="1:11">
      <c r="A1252" s="288" t="s">
        <v>1564</v>
      </c>
      <c r="K1252" s="265"/>
    </row>
    <row r="1253" spans="1:11">
      <c r="A1253" s="285" t="s">
        <v>1521</v>
      </c>
      <c r="B1253" s="289">
        <f>SUMPRODUCT($B1125:$F1125,$B$116:$F$116)</f>
        <v>0</v>
      </c>
      <c r="C1253" s="298">
        <f>B1253</f>
        <v>0</v>
      </c>
      <c r="D1253" s="273">
        <f>B256*(1-B1253)</f>
        <v>0</v>
      </c>
      <c r="E1253" s="273">
        <f>C256*(1-B1253)</f>
        <v>0</v>
      </c>
      <c r="F1253" s="273">
        <f>D256*(1-B1253)</f>
        <v>0</v>
      </c>
      <c r="G1253" s="273">
        <f>E256*(1-C1253)</f>
        <v>0</v>
      </c>
      <c r="H1253" s="273">
        <f>F256*(1-B1253)</f>
        <v>0</v>
      </c>
      <c r="I1253" s="273">
        <f>G256*(1-B1253)</f>
        <v>0</v>
      </c>
      <c r="J1253" s="273">
        <f>H256*(1-B1253)</f>
        <v>0</v>
      </c>
      <c r="K1253" s="265"/>
    </row>
    <row r="1255" spans="1:11" ht="21" customHeight="1">
      <c r="A1255" s="1" t="s">
        <v>385</v>
      </c>
    </row>
    <row r="1256" spans="1:11">
      <c r="A1256" s="264" t="s">
        <v>217</v>
      </c>
    </row>
    <row r="1257" spans="1:11">
      <c r="A1257" s="269" t="s">
        <v>386</v>
      </c>
    </row>
    <row r="1258" spans="1:11">
      <c r="A1258" s="269" t="s">
        <v>387</v>
      </c>
    </row>
    <row r="1259" spans="1:11">
      <c r="A1259" s="269" t="s">
        <v>388</v>
      </c>
    </row>
    <row r="1260" spans="1:11">
      <c r="A1260" s="269" t="s">
        <v>389</v>
      </c>
    </row>
    <row r="1261" spans="1:11">
      <c r="A1261" s="269" t="s">
        <v>390</v>
      </c>
    </row>
    <row r="1262" spans="1:11">
      <c r="A1262" s="269" t="s">
        <v>1573</v>
      </c>
    </row>
    <row r="1263" spans="1:11">
      <c r="A1263" s="269" t="s">
        <v>1574</v>
      </c>
    </row>
    <row r="1264" spans="1:11">
      <c r="A1264" s="270" t="s">
        <v>220</v>
      </c>
      <c r="B1264" s="270" t="s">
        <v>343</v>
      </c>
      <c r="C1264" s="270" t="s">
        <v>343</v>
      </c>
      <c r="D1264" s="270" t="s">
        <v>343</v>
      </c>
      <c r="E1264" s="270" t="s">
        <v>343</v>
      </c>
      <c r="F1264" s="270" t="s">
        <v>343</v>
      </c>
      <c r="G1264" s="270" t="s">
        <v>343</v>
      </c>
      <c r="H1264" s="270" t="s">
        <v>343</v>
      </c>
    </row>
    <row r="1265" spans="1:9">
      <c r="A1265" s="270" t="s">
        <v>223</v>
      </c>
      <c r="B1265" s="270" t="s">
        <v>391</v>
      </c>
      <c r="C1265" s="270" t="s">
        <v>392</v>
      </c>
      <c r="D1265" s="270" t="s">
        <v>393</v>
      </c>
      <c r="E1265" s="270" t="s">
        <v>394</v>
      </c>
      <c r="F1265" s="270" t="s">
        <v>345</v>
      </c>
      <c r="G1265" s="270" t="s">
        <v>395</v>
      </c>
      <c r="H1265" s="270" t="s">
        <v>959</v>
      </c>
    </row>
    <row r="1267" spans="1:9">
      <c r="B1267" s="284" t="s">
        <v>102</v>
      </c>
      <c r="C1267" s="284" t="s">
        <v>103</v>
      </c>
      <c r="D1267" s="284" t="s">
        <v>104</v>
      </c>
      <c r="E1267" s="284" t="s">
        <v>105</v>
      </c>
      <c r="F1267" s="284" t="s">
        <v>106</v>
      </c>
      <c r="G1267" s="284" t="s">
        <v>1569</v>
      </c>
      <c r="H1267" s="284" t="s">
        <v>107</v>
      </c>
    </row>
    <row r="1268" spans="1:9">
      <c r="A1268" s="285" t="s">
        <v>54</v>
      </c>
      <c r="B1268" s="275">
        <f t="shared" ref="B1268:H1268" si="47">SUM(D$1146:D$1148)</f>
        <v>4330764.5850651627</v>
      </c>
      <c r="C1268" s="275">
        <f t="shared" si="47"/>
        <v>0</v>
      </c>
      <c r="D1268" s="275">
        <f t="shared" si="47"/>
        <v>0</v>
      </c>
      <c r="E1268" s="275">
        <f t="shared" si="47"/>
        <v>1257589.1003387033</v>
      </c>
      <c r="F1268" s="275">
        <f t="shared" si="47"/>
        <v>0</v>
      </c>
      <c r="G1268" s="275">
        <f t="shared" si="47"/>
        <v>0</v>
      </c>
      <c r="H1268" s="275">
        <f t="shared" si="47"/>
        <v>0</v>
      </c>
      <c r="I1268" s="265"/>
    </row>
    <row r="1269" spans="1:9">
      <c r="A1269" s="285" t="s">
        <v>55</v>
      </c>
      <c r="B1269" s="275">
        <f t="shared" ref="B1269:H1269" si="48">SUM(D$1150:D$1152)</f>
        <v>608931.34364339605</v>
      </c>
      <c r="C1269" s="275">
        <f t="shared" si="48"/>
        <v>664767.52617889503</v>
      </c>
      <c r="D1269" s="275">
        <f t="shared" si="48"/>
        <v>0</v>
      </c>
      <c r="E1269" s="275">
        <f t="shared" si="48"/>
        <v>209444.29065695568</v>
      </c>
      <c r="F1269" s="275">
        <f t="shared" si="48"/>
        <v>0</v>
      </c>
      <c r="G1269" s="275">
        <f t="shared" si="48"/>
        <v>0</v>
      </c>
      <c r="H1269" s="275">
        <f t="shared" si="48"/>
        <v>0</v>
      </c>
      <c r="I1269" s="265"/>
    </row>
    <row r="1270" spans="1:9">
      <c r="A1270" s="285" t="s">
        <v>91</v>
      </c>
      <c r="B1270" s="275">
        <f t="shared" ref="B1270:H1270" si="49">SUM(D$1154:D$1156)</f>
        <v>45959.708361578618</v>
      </c>
      <c r="C1270" s="275">
        <f t="shared" si="49"/>
        <v>0</v>
      </c>
      <c r="D1270" s="275">
        <f t="shared" si="49"/>
        <v>0</v>
      </c>
      <c r="E1270" s="275">
        <f t="shared" si="49"/>
        <v>15622</v>
      </c>
      <c r="F1270" s="275">
        <f t="shared" si="49"/>
        <v>0</v>
      </c>
      <c r="G1270" s="275">
        <f t="shared" si="49"/>
        <v>0</v>
      </c>
      <c r="H1270" s="275">
        <f t="shared" si="49"/>
        <v>0</v>
      </c>
      <c r="I1270" s="265"/>
    </row>
    <row r="1271" spans="1:9">
      <c r="A1271" s="285" t="s">
        <v>56</v>
      </c>
      <c r="B1271" s="275">
        <f t="shared" ref="B1271:H1271" si="50">SUM(D$1158:D$1160)</f>
        <v>1182644.1894392911</v>
      </c>
      <c r="C1271" s="275">
        <f t="shared" si="50"/>
        <v>0</v>
      </c>
      <c r="D1271" s="275">
        <f t="shared" si="50"/>
        <v>0</v>
      </c>
      <c r="E1271" s="275">
        <f t="shared" si="50"/>
        <v>110349.61761711458</v>
      </c>
      <c r="F1271" s="275">
        <f t="shared" si="50"/>
        <v>0</v>
      </c>
      <c r="G1271" s="275">
        <f t="shared" si="50"/>
        <v>0</v>
      </c>
      <c r="H1271" s="275">
        <f t="shared" si="50"/>
        <v>0</v>
      </c>
      <c r="I1271" s="265"/>
    </row>
    <row r="1272" spans="1:9">
      <c r="A1272" s="285" t="s">
        <v>57</v>
      </c>
      <c r="B1272" s="275">
        <f t="shared" ref="B1272:H1272" si="51">SUM(D$1162:D$1164)</f>
        <v>394784.6090090744</v>
      </c>
      <c r="C1272" s="275">
        <f t="shared" si="51"/>
        <v>183373.33007767369</v>
      </c>
      <c r="D1272" s="275">
        <f t="shared" si="51"/>
        <v>0</v>
      </c>
      <c r="E1272" s="275">
        <f t="shared" si="51"/>
        <v>29453.97677008979</v>
      </c>
      <c r="F1272" s="275">
        <f t="shared" si="51"/>
        <v>0</v>
      </c>
      <c r="G1272" s="275">
        <f t="shared" si="51"/>
        <v>0</v>
      </c>
      <c r="H1272" s="275">
        <f t="shared" si="51"/>
        <v>0</v>
      </c>
      <c r="I1272" s="265"/>
    </row>
    <row r="1273" spans="1:9">
      <c r="A1273" s="285" t="s">
        <v>92</v>
      </c>
      <c r="B1273" s="275">
        <f t="shared" ref="B1273:H1273" si="52">SUM(D$1166:D$1168)</f>
        <v>17319.819478475714</v>
      </c>
      <c r="C1273" s="275">
        <f t="shared" si="52"/>
        <v>0</v>
      </c>
      <c r="D1273" s="275">
        <f t="shared" si="52"/>
        <v>0</v>
      </c>
      <c r="E1273" s="275">
        <f t="shared" si="52"/>
        <v>3339</v>
      </c>
      <c r="F1273" s="275">
        <f t="shared" si="52"/>
        <v>0</v>
      </c>
      <c r="G1273" s="275">
        <f t="shared" si="52"/>
        <v>0</v>
      </c>
      <c r="H1273" s="275">
        <f t="shared" si="52"/>
        <v>0</v>
      </c>
      <c r="I1273" s="265"/>
    </row>
    <row r="1274" spans="1:9">
      <c r="A1274" s="285" t="s">
        <v>58</v>
      </c>
      <c r="B1274" s="275">
        <f t="shared" ref="B1274:H1274" si="53">SUM(D$1170:D$1172)</f>
        <v>8.0133204024159801E-4</v>
      </c>
      <c r="C1274" s="275">
        <f t="shared" si="53"/>
        <v>1.9866795975840209E-4</v>
      </c>
      <c r="D1274" s="275">
        <f t="shared" si="53"/>
        <v>0</v>
      </c>
      <c r="E1274" s="275">
        <f t="shared" si="53"/>
        <v>1.1375306250331345E-5</v>
      </c>
      <c r="F1274" s="275">
        <f t="shared" si="53"/>
        <v>0</v>
      </c>
      <c r="G1274" s="275">
        <f t="shared" si="53"/>
        <v>0</v>
      </c>
      <c r="H1274" s="275">
        <f t="shared" si="53"/>
        <v>0</v>
      </c>
      <c r="I1274" s="265"/>
    </row>
    <row r="1275" spans="1:9">
      <c r="A1275" s="285" t="s">
        <v>59</v>
      </c>
      <c r="B1275" s="275">
        <f t="shared" ref="B1275:H1275" si="54">SUM(D$1174:D$1174)</f>
        <v>7.8187632481715845E-4</v>
      </c>
      <c r="C1275" s="275">
        <f t="shared" si="54"/>
        <v>2.1812367518284149E-4</v>
      </c>
      <c r="D1275" s="275">
        <f t="shared" si="54"/>
        <v>0</v>
      </c>
      <c r="E1275" s="275">
        <f t="shared" si="54"/>
        <v>8.3651490727006342E-6</v>
      </c>
      <c r="F1275" s="275">
        <f t="shared" si="54"/>
        <v>0</v>
      </c>
      <c r="G1275" s="275">
        <f t="shared" si="54"/>
        <v>0</v>
      </c>
      <c r="H1275" s="275">
        <f t="shared" si="54"/>
        <v>0</v>
      </c>
      <c r="I1275" s="265"/>
    </row>
    <row r="1276" spans="1:9">
      <c r="A1276" s="285" t="s">
        <v>72</v>
      </c>
      <c r="B1276" s="275">
        <f t="shared" ref="B1276:H1276" si="55">SUM(D$1176:D$1176)</f>
        <v>7.7902953356325151E-4</v>
      </c>
      <c r="C1276" s="275">
        <f t="shared" si="55"/>
        <v>2.2097046643674843E-4</v>
      </c>
      <c r="D1276" s="275">
        <f t="shared" si="55"/>
        <v>0</v>
      </c>
      <c r="E1276" s="275">
        <f t="shared" si="55"/>
        <v>8.8911149421647205E-6</v>
      </c>
      <c r="F1276" s="275">
        <f t="shared" si="55"/>
        <v>0</v>
      </c>
      <c r="G1276" s="275">
        <f t="shared" si="55"/>
        <v>0</v>
      </c>
      <c r="H1276" s="275">
        <f t="shared" si="55"/>
        <v>0</v>
      </c>
      <c r="I1276" s="265"/>
    </row>
    <row r="1277" spans="1:9">
      <c r="A1277" s="285" t="s">
        <v>1178</v>
      </c>
      <c r="B1277" s="275">
        <f t="shared" ref="B1277:H1277" si="56">SUM(D$1178:D$1180)</f>
        <v>2.2038402354910721E-2</v>
      </c>
      <c r="C1277" s="275">
        <f t="shared" si="56"/>
        <v>5.6003186010638299E-2</v>
      </c>
      <c r="D1277" s="275">
        <f t="shared" si="56"/>
        <v>5.28921656517857E-2</v>
      </c>
      <c r="E1277" s="275">
        <f t="shared" si="56"/>
        <v>8.4931506849315067E-2</v>
      </c>
      <c r="F1277" s="275">
        <f t="shared" si="56"/>
        <v>0</v>
      </c>
      <c r="G1277" s="275">
        <f t="shared" si="56"/>
        <v>0</v>
      </c>
      <c r="H1277" s="275">
        <f t="shared" si="56"/>
        <v>0</v>
      </c>
      <c r="I1277" s="265"/>
    </row>
    <row r="1278" spans="1:9">
      <c r="A1278" s="285" t="s">
        <v>1177</v>
      </c>
      <c r="B1278" s="275">
        <f t="shared" ref="B1278:H1278" si="57">SUM(D$1182:D$1184)</f>
        <v>26891.470075303365</v>
      </c>
      <c r="C1278" s="275">
        <f t="shared" si="57"/>
        <v>198928.09836727715</v>
      </c>
      <c r="D1278" s="275">
        <f t="shared" si="57"/>
        <v>188258.10563805545</v>
      </c>
      <c r="E1278" s="275">
        <f t="shared" si="57"/>
        <v>6149.2813810656571</v>
      </c>
      <c r="F1278" s="275">
        <f t="shared" si="57"/>
        <v>0</v>
      </c>
      <c r="G1278" s="275">
        <f t="shared" si="57"/>
        <v>0</v>
      </c>
      <c r="H1278" s="275">
        <f t="shared" si="57"/>
        <v>0</v>
      </c>
      <c r="I1278" s="265"/>
    </row>
    <row r="1279" spans="1:9">
      <c r="A1279" s="285" t="s">
        <v>60</v>
      </c>
      <c r="B1279" s="275">
        <f t="shared" ref="B1279:H1279" si="58">SUM(D$1186:D$1188)</f>
        <v>87398.017920974948</v>
      </c>
      <c r="C1279" s="275">
        <f t="shared" si="58"/>
        <v>634061.47731110174</v>
      </c>
      <c r="D1279" s="275">
        <f t="shared" si="58"/>
        <v>558023.34081296436</v>
      </c>
      <c r="E1279" s="275">
        <f t="shared" si="58"/>
        <v>6716.8643543633152</v>
      </c>
      <c r="F1279" s="275">
        <f t="shared" si="58"/>
        <v>687462.1504282516</v>
      </c>
      <c r="G1279" s="275">
        <f t="shared" si="58"/>
        <v>12092.108684596697</v>
      </c>
      <c r="H1279" s="275">
        <f t="shared" si="58"/>
        <v>79264.533639155008</v>
      </c>
      <c r="I1279" s="265"/>
    </row>
    <row r="1280" spans="1:9">
      <c r="A1280" s="285" t="s">
        <v>61</v>
      </c>
      <c r="B1280" s="275">
        <f t="shared" ref="B1280:H1280" si="59">SUM(D$1190:D$1191)</f>
        <v>49868.964829459714</v>
      </c>
      <c r="C1280" s="275">
        <f t="shared" si="59"/>
        <v>369713.45451334357</v>
      </c>
      <c r="D1280" s="275">
        <f t="shared" si="59"/>
        <v>340548.16991539561</v>
      </c>
      <c r="E1280" s="275">
        <f t="shared" si="59"/>
        <v>1937.7203949451298</v>
      </c>
      <c r="F1280" s="275">
        <f t="shared" si="59"/>
        <v>364948.69223090162</v>
      </c>
      <c r="G1280" s="275">
        <f t="shared" si="59"/>
        <v>5286.8109888675162</v>
      </c>
      <c r="H1280" s="275">
        <f t="shared" si="59"/>
        <v>65192.474789423992</v>
      </c>
      <c r="I1280" s="265"/>
    </row>
    <row r="1281" spans="1:9">
      <c r="A1281" s="285" t="s">
        <v>73</v>
      </c>
      <c r="B1281" s="275">
        <f t="shared" ref="B1281:H1281" si="60">SUM(D$1193:D$1194)</f>
        <v>154123.69691251323</v>
      </c>
      <c r="C1281" s="275">
        <f t="shared" si="60"/>
        <v>1097390.0216684032</v>
      </c>
      <c r="D1281" s="275">
        <f t="shared" si="60"/>
        <v>1189244.961767874</v>
      </c>
      <c r="E1281" s="275">
        <f t="shared" si="60"/>
        <v>1065.9896401111816</v>
      </c>
      <c r="F1281" s="275">
        <f t="shared" si="60"/>
        <v>863578.08869809331</v>
      </c>
      <c r="G1281" s="275">
        <f t="shared" si="60"/>
        <v>14165.401246932342</v>
      </c>
      <c r="H1281" s="275">
        <f t="shared" si="60"/>
        <v>163995.38172666304</v>
      </c>
      <c r="I1281" s="265"/>
    </row>
    <row r="1282" spans="1:9">
      <c r="A1282" s="285" t="s">
        <v>93</v>
      </c>
      <c r="B1282" s="275">
        <f t="shared" ref="B1282:H1282" si="61">SUM(D$1196:D$1198)</f>
        <v>10216.676329270214</v>
      </c>
      <c r="C1282" s="275">
        <f t="shared" si="61"/>
        <v>0</v>
      </c>
      <c r="D1282" s="275">
        <f t="shared" si="61"/>
        <v>0</v>
      </c>
      <c r="E1282" s="275">
        <f t="shared" si="61"/>
        <v>741</v>
      </c>
      <c r="F1282" s="275">
        <f t="shared" si="61"/>
        <v>0</v>
      </c>
      <c r="G1282" s="275">
        <f t="shared" si="61"/>
        <v>0</v>
      </c>
      <c r="H1282" s="275">
        <f t="shared" si="61"/>
        <v>0</v>
      </c>
      <c r="I1282" s="265"/>
    </row>
    <row r="1283" spans="1:9">
      <c r="A1283" s="285" t="s">
        <v>94</v>
      </c>
      <c r="B1283" s="275">
        <f t="shared" ref="B1283:H1283" si="62">SUM(D$1200:D$1202)</f>
        <v>7875.3061605532412</v>
      </c>
      <c r="C1283" s="275">
        <f t="shared" si="62"/>
        <v>0</v>
      </c>
      <c r="D1283" s="275">
        <f t="shared" si="62"/>
        <v>0</v>
      </c>
      <c r="E1283" s="275">
        <f t="shared" si="62"/>
        <v>689</v>
      </c>
      <c r="F1283" s="275">
        <f t="shared" si="62"/>
        <v>0</v>
      </c>
      <c r="G1283" s="275">
        <f t="shared" si="62"/>
        <v>0</v>
      </c>
      <c r="H1283" s="275">
        <f t="shared" si="62"/>
        <v>0</v>
      </c>
      <c r="I1283" s="265"/>
    </row>
    <row r="1284" spans="1:9">
      <c r="A1284" s="285" t="s">
        <v>95</v>
      </c>
      <c r="B1284" s="275">
        <f t="shared" ref="B1284:H1284" si="63">SUM(D$1204:D$1206)</f>
        <v>993.54794623969281</v>
      </c>
      <c r="C1284" s="275">
        <f t="shared" si="63"/>
        <v>0</v>
      </c>
      <c r="D1284" s="275">
        <f t="shared" si="63"/>
        <v>0</v>
      </c>
      <c r="E1284" s="275">
        <f t="shared" si="63"/>
        <v>179</v>
      </c>
      <c r="F1284" s="275">
        <f t="shared" si="63"/>
        <v>0</v>
      </c>
      <c r="G1284" s="275">
        <f t="shared" si="63"/>
        <v>0</v>
      </c>
      <c r="H1284" s="275">
        <f t="shared" si="63"/>
        <v>0</v>
      </c>
      <c r="I1284" s="265"/>
    </row>
    <row r="1285" spans="1:9">
      <c r="A1285" s="285" t="s">
        <v>96</v>
      </c>
      <c r="B1285" s="275">
        <f t="shared" ref="B1285:H1285" si="64">SUM(D$1208:D$1210)</f>
        <v>0</v>
      </c>
      <c r="C1285" s="275">
        <f t="shared" si="64"/>
        <v>0</v>
      </c>
      <c r="D1285" s="275">
        <f t="shared" si="64"/>
        <v>0</v>
      </c>
      <c r="E1285" s="275">
        <f t="shared" si="64"/>
        <v>1</v>
      </c>
      <c r="F1285" s="275">
        <f t="shared" si="64"/>
        <v>0</v>
      </c>
      <c r="G1285" s="275">
        <f t="shared" si="64"/>
        <v>0</v>
      </c>
      <c r="H1285" s="275">
        <f t="shared" si="64"/>
        <v>0</v>
      </c>
      <c r="I1285" s="265"/>
    </row>
    <row r="1286" spans="1:9">
      <c r="A1286" s="285" t="s">
        <v>97</v>
      </c>
      <c r="B1286" s="275">
        <f t="shared" ref="B1286:H1286" si="65">SUM(D$1212:D$1214)</f>
        <v>4106.5892409350963</v>
      </c>
      <c r="C1286" s="275">
        <f t="shared" si="65"/>
        <v>29546.209098717445</v>
      </c>
      <c r="D1286" s="275">
        <f t="shared" si="65"/>
        <v>79799.243698458056</v>
      </c>
      <c r="E1286" s="275">
        <f t="shared" si="65"/>
        <v>27.892405050501267</v>
      </c>
      <c r="F1286" s="275">
        <f t="shared" si="65"/>
        <v>0</v>
      </c>
      <c r="G1286" s="275">
        <f t="shared" si="65"/>
        <v>0</v>
      </c>
      <c r="H1286" s="275">
        <f t="shared" si="65"/>
        <v>0</v>
      </c>
      <c r="I1286" s="265"/>
    </row>
    <row r="1287" spans="1:9">
      <c r="A1287" s="285" t="s">
        <v>1176</v>
      </c>
      <c r="B1287" s="275">
        <f t="shared" ref="B1287:H1287" si="66">SUM(D$1216:D$1218)</f>
        <v>3347.6537483448274</v>
      </c>
      <c r="C1287" s="275">
        <f t="shared" si="66"/>
        <v>0</v>
      </c>
      <c r="D1287" s="275">
        <f t="shared" si="66"/>
        <v>0</v>
      </c>
      <c r="E1287" s="275">
        <f t="shared" si="66"/>
        <v>286</v>
      </c>
      <c r="F1287" s="275">
        <f t="shared" si="66"/>
        <v>0</v>
      </c>
      <c r="G1287" s="275">
        <f t="shared" si="66"/>
        <v>0</v>
      </c>
      <c r="H1287" s="275">
        <f t="shared" si="66"/>
        <v>0</v>
      </c>
      <c r="I1287" s="265"/>
    </row>
    <row r="1288" spans="1:9">
      <c r="A1288" s="285" t="s">
        <v>62</v>
      </c>
      <c r="B1288" s="275">
        <f t="shared" ref="B1288:H1288" si="67">SUM(D$1220:D$1221)</f>
        <v>92.074856879310332</v>
      </c>
      <c r="C1288" s="275">
        <f t="shared" si="67"/>
        <v>0</v>
      </c>
      <c r="D1288" s="275">
        <f t="shared" si="67"/>
        <v>0</v>
      </c>
      <c r="E1288" s="275">
        <f t="shared" si="67"/>
        <v>1</v>
      </c>
      <c r="F1288" s="275">
        <f t="shared" si="67"/>
        <v>0</v>
      </c>
      <c r="G1288" s="275">
        <f t="shared" si="67"/>
        <v>0</v>
      </c>
      <c r="H1288" s="275">
        <f t="shared" si="67"/>
        <v>0</v>
      </c>
      <c r="I1288" s="265"/>
    </row>
    <row r="1289" spans="1:9">
      <c r="A1289" s="285" t="s">
        <v>63</v>
      </c>
      <c r="B1289" s="275">
        <f t="shared" ref="B1289:H1289" si="68">SUM(D$1223:D$1225)</f>
        <v>79687.593191900029</v>
      </c>
      <c r="C1289" s="275">
        <f t="shared" si="68"/>
        <v>0</v>
      </c>
      <c r="D1289" s="275">
        <f t="shared" si="68"/>
        <v>0</v>
      </c>
      <c r="E1289" s="275">
        <f t="shared" si="68"/>
        <v>887.02632534246584</v>
      </c>
      <c r="F1289" s="275">
        <f t="shared" si="68"/>
        <v>0</v>
      </c>
      <c r="G1289" s="275">
        <f t="shared" si="68"/>
        <v>0</v>
      </c>
      <c r="H1289" s="275">
        <f t="shared" si="68"/>
        <v>6236.4784697858631</v>
      </c>
      <c r="I1289" s="265"/>
    </row>
    <row r="1290" spans="1:9">
      <c r="A1290" s="285" t="s">
        <v>1516</v>
      </c>
      <c r="B1290" s="275">
        <f t="shared" ref="B1290:H1290" si="69">SUM(D$1227:D$1227)</f>
        <v>0</v>
      </c>
      <c r="C1290" s="275">
        <f t="shared" si="69"/>
        <v>0</v>
      </c>
      <c r="D1290" s="275">
        <f t="shared" si="69"/>
        <v>0</v>
      </c>
      <c r="E1290" s="275">
        <f t="shared" si="69"/>
        <v>0</v>
      </c>
      <c r="F1290" s="275">
        <f t="shared" si="69"/>
        <v>0</v>
      </c>
      <c r="G1290" s="275">
        <f t="shared" si="69"/>
        <v>0</v>
      </c>
      <c r="H1290" s="275">
        <f t="shared" si="69"/>
        <v>0</v>
      </c>
      <c r="I1290" s="265"/>
    </row>
    <row r="1291" spans="1:9">
      <c r="A1291" s="285" t="s">
        <v>64</v>
      </c>
      <c r="B1291" s="275">
        <f t="shared" ref="B1291:H1291" si="70">SUM(D$1229:D$1231)</f>
        <v>150.22435028789201</v>
      </c>
      <c r="C1291" s="275">
        <f t="shared" si="70"/>
        <v>933.01718610068747</v>
      </c>
      <c r="D1291" s="275">
        <f t="shared" si="70"/>
        <v>1215.9778554005959</v>
      </c>
      <c r="E1291" s="275">
        <f t="shared" si="70"/>
        <v>16.428914383561644</v>
      </c>
      <c r="F1291" s="275">
        <f t="shared" si="70"/>
        <v>0</v>
      </c>
      <c r="G1291" s="275">
        <f t="shared" si="70"/>
        <v>0</v>
      </c>
      <c r="H1291" s="275">
        <f t="shared" si="70"/>
        <v>631.56368132758632</v>
      </c>
      <c r="I1291" s="265"/>
    </row>
    <row r="1292" spans="1:9">
      <c r="A1292" s="285" t="s">
        <v>1517</v>
      </c>
      <c r="B1292" s="275">
        <f t="shared" ref="B1292:H1292" si="71">SUM(D$1233:D$1233)</f>
        <v>0</v>
      </c>
      <c r="C1292" s="275">
        <f t="shared" si="71"/>
        <v>0</v>
      </c>
      <c r="D1292" s="275">
        <f t="shared" si="71"/>
        <v>0</v>
      </c>
      <c r="E1292" s="275">
        <f t="shared" si="71"/>
        <v>0</v>
      </c>
      <c r="F1292" s="275">
        <f t="shared" si="71"/>
        <v>0</v>
      </c>
      <c r="G1292" s="275">
        <f t="shared" si="71"/>
        <v>0</v>
      </c>
      <c r="H1292" s="275">
        <f t="shared" si="71"/>
        <v>0</v>
      </c>
      <c r="I1292" s="265"/>
    </row>
    <row r="1293" spans="1:9">
      <c r="A1293" s="285" t="s">
        <v>65</v>
      </c>
      <c r="B1293" s="275">
        <f t="shared" ref="B1293:H1293" si="72">SUM(D$1235:D$1236)</f>
        <v>13040.742602439654</v>
      </c>
      <c r="C1293" s="275">
        <f t="shared" si="72"/>
        <v>0</v>
      </c>
      <c r="D1293" s="275">
        <f t="shared" si="72"/>
        <v>0</v>
      </c>
      <c r="E1293" s="275">
        <f t="shared" si="72"/>
        <v>121.63811301369863</v>
      </c>
      <c r="F1293" s="275">
        <f t="shared" si="72"/>
        <v>0</v>
      </c>
      <c r="G1293" s="275">
        <f t="shared" si="72"/>
        <v>0</v>
      </c>
      <c r="H1293" s="275">
        <f t="shared" si="72"/>
        <v>1632.6222186810344</v>
      </c>
      <c r="I1293" s="265"/>
    </row>
    <row r="1294" spans="1:9">
      <c r="A1294" s="285" t="s">
        <v>1518</v>
      </c>
      <c r="B1294" s="275">
        <f t="shared" ref="B1294:H1294" si="73">SUM(D$1238:D$1238)</f>
        <v>0</v>
      </c>
      <c r="C1294" s="275">
        <f t="shared" si="73"/>
        <v>0</v>
      </c>
      <c r="D1294" s="275">
        <f t="shared" si="73"/>
        <v>0</v>
      </c>
      <c r="E1294" s="275">
        <f t="shared" si="73"/>
        <v>0</v>
      </c>
      <c r="F1294" s="275">
        <f t="shared" si="73"/>
        <v>0</v>
      </c>
      <c r="G1294" s="275">
        <f t="shared" si="73"/>
        <v>0</v>
      </c>
      <c r="H1294" s="275">
        <f t="shared" si="73"/>
        <v>0</v>
      </c>
      <c r="I1294" s="265"/>
    </row>
    <row r="1295" spans="1:9">
      <c r="A1295" s="285" t="s">
        <v>66</v>
      </c>
      <c r="B1295" s="275">
        <f t="shared" ref="B1295:H1295" si="74">SUM(D$1240:D$1241)</f>
        <v>262.77834065563309</v>
      </c>
      <c r="C1295" s="275">
        <f t="shared" si="74"/>
        <v>1416.430282521459</v>
      </c>
      <c r="D1295" s="275">
        <f t="shared" si="74"/>
        <v>2413.7732126878327</v>
      </c>
      <c r="E1295" s="275">
        <f t="shared" si="74"/>
        <v>12.478949999999999</v>
      </c>
      <c r="F1295" s="275">
        <f t="shared" si="74"/>
        <v>0</v>
      </c>
      <c r="G1295" s="275">
        <f t="shared" si="74"/>
        <v>0</v>
      </c>
      <c r="H1295" s="275">
        <f t="shared" si="74"/>
        <v>606.8858033017242</v>
      </c>
      <c r="I1295" s="265"/>
    </row>
    <row r="1296" spans="1:9">
      <c r="A1296" s="285" t="s">
        <v>1519</v>
      </c>
      <c r="B1296" s="275">
        <f t="shared" ref="B1296:H1296" si="75">SUM(D$1243:D$1243)</f>
        <v>0</v>
      </c>
      <c r="C1296" s="275">
        <f t="shared" si="75"/>
        <v>0</v>
      </c>
      <c r="D1296" s="275">
        <f t="shared" si="75"/>
        <v>0</v>
      </c>
      <c r="E1296" s="275">
        <f t="shared" si="75"/>
        <v>0</v>
      </c>
      <c r="F1296" s="275">
        <f t="shared" si="75"/>
        <v>0</v>
      </c>
      <c r="G1296" s="275">
        <f t="shared" si="75"/>
        <v>0</v>
      </c>
      <c r="H1296" s="275">
        <f t="shared" si="75"/>
        <v>0</v>
      </c>
      <c r="I1296" s="265"/>
    </row>
    <row r="1297" spans="1:9">
      <c r="A1297" s="285" t="s">
        <v>74</v>
      </c>
      <c r="B1297" s="275">
        <f t="shared" ref="B1297:H1297" si="76">SUM(D$1245:D$1246)</f>
        <v>408827.55334948626</v>
      </c>
      <c r="C1297" s="275">
        <f t="shared" si="76"/>
        <v>0</v>
      </c>
      <c r="D1297" s="275">
        <f t="shared" si="76"/>
        <v>0</v>
      </c>
      <c r="E1297" s="275">
        <f t="shared" si="76"/>
        <v>237.99717534246571</v>
      </c>
      <c r="F1297" s="275">
        <f t="shared" si="76"/>
        <v>0</v>
      </c>
      <c r="G1297" s="275">
        <f t="shared" si="76"/>
        <v>0</v>
      </c>
      <c r="H1297" s="275">
        <f t="shared" si="76"/>
        <v>3870.4537602500009</v>
      </c>
      <c r="I1297" s="265"/>
    </row>
    <row r="1298" spans="1:9">
      <c r="A1298" s="285" t="s">
        <v>1520</v>
      </c>
      <c r="B1298" s="275">
        <f t="shared" ref="B1298:H1298" si="77">SUM(D$1248:D$1248)</f>
        <v>0</v>
      </c>
      <c r="C1298" s="275">
        <f t="shared" si="77"/>
        <v>0</v>
      </c>
      <c r="D1298" s="275">
        <f t="shared" si="77"/>
        <v>0</v>
      </c>
      <c r="E1298" s="275">
        <f t="shared" si="77"/>
        <v>0</v>
      </c>
      <c r="F1298" s="275">
        <f t="shared" si="77"/>
        <v>0</v>
      </c>
      <c r="G1298" s="275">
        <f t="shared" si="77"/>
        <v>0</v>
      </c>
      <c r="H1298" s="275">
        <f t="shared" si="77"/>
        <v>0</v>
      </c>
      <c r="I1298" s="265"/>
    </row>
    <row r="1299" spans="1:9">
      <c r="A1299" s="285" t="s">
        <v>75</v>
      </c>
      <c r="B1299" s="275">
        <f t="shared" ref="B1299:H1299" si="78">SUM(D$1250:D$1251)</f>
        <v>18175.312616465664</v>
      </c>
      <c r="C1299" s="275">
        <f t="shared" si="78"/>
        <v>96564.295518469778</v>
      </c>
      <c r="D1299" s="275">
        <f t="shared" si="78"/>
        <v>133401.75255198494</v>
      </c>
      <c r="E1299" s="275">
        <f t="shared" si="78"/>
        <v>70.943264383561655</v>
      </c>
      <c r="F1299" s="275">
        <f t="shared" si="78"/>
        <v>0</v>
      </c>
      <c r="G1299" s="275">
        <f t="shared" si="78"/>
        <v>0</v>
      </c>
      <c r="H1299" s="275">
        <f t="shared" si="78"/>
        <v>2453.450076915517</v>
      </c>
      <c r="I1299" s="265"/>
    </row>
    <row r="1300" spans="1:9">
      <c r="A1300" s="285" t="s">
        <v>1521</v>
      </c>
      <c r="B1300" s="275">
        <f t="shared" ref="B1300:H1300" si="79">SUM(D$1253:D$1253)</f>
        <v>0</v>
      </c>
      <c r="C1300" s="275">
        <f t="shared" si="79"/>
        <v>0</v>
      </c>
      <c r="D1300" s="275">
        <f t="shared" si="79"/>
        <v>0</v>
      </c>
      <c r="E1300" s="275">
        <f t="shared" si="79"/>
        <v>0</v>
      </c>
      <c r="F1300" s="275">
        <f t="shared" si="79"/>
        <v>0</v>
      </c>
      <c r="G1300" s="275">
        <f t="shared" si="79"/>
        <v>0</v>
      </c>
      <c r="H1300" s="275">
        <f t="shared" si="79"/>
        <v>0</v>
      </c>
      <c r="I1300" s="265"/>
    </row>
    <row r="1302" spans="1:9" ht="21" customHeight="1">
      <c r="A1302" s="1" t="str">
        <f>"Load characteristics for multiple unit rates for "&amp;CDCM!B7&amp;" in "&amp;CDCM!C7&amp;" ("&amp;CDCM!D7&amp;")"</f>
        <v>Load characteristics for multiple unit rates for 0 in 0 (0)</v>
      </c>
    </row>
    <row r="1304" spans="1:9" ht="21" customHeight="1">
      <c r="A1304" s="1" t="s">
        <v>396</v>
      </c>
    </row>
    <row r="1305" spans="1:9">
      <c r="A1305" s="264" t="s">
        <v>217</v>
      </c>
    </row>
    <row r="1306" spans="1:9">
      <c r="A1306" s="269" t="s">
        <v>397</v>
      </c>
    </row>
    <row r="1307" spans="1:9">
      <c r="A1307" s="269" t="s">
        <v>398</v>
      </c>
    </row>
    <row r="1308" spans="1:9">
      <c r="A1308" s="269" t="s">
        <v>399</v>
      </c>
    </row>
    <row r="1309" spans="1:9">
      <c r="A1309" s="270" t="s">
        <v>220</v>
      </c>
      <c r="B1309" s="270" t="s">
        <v>343</v>
      </c>
      <c r="C1309" s="270" t="s">
        <v>342</v>
      </c>
      <c r="D1309" s="270"/>
      <c r="E1309" s="270"/>
    </row>
    <row r="1310" spans="1:9">
      <c r="A1310" s="270" t="s">
        <v>223</v>
      </c>
      <c r="B1310" s="270" t="s">
        <v>391</v>
      </c>
      <c r="C1310" s="270" t="s">
        <v>400</v>
      </c>
      <c r="D1310" s="270"/>
      <c r="E1310" s="270"/>
    </row>
    <row r="1312" spans="1:9">
      <c r="C1312" s="295" t="s">
        <v>402</v>
      </c>
      <c r="D1312" s="295"/>
      <c r="E1312" s="295"/>
    </row>
    <row r="1313" spans="1:6">
      <c r="B1313" s="284" t="s">
        <v>401</v>
      </c>
      <c r="C1313" s="284" t="s">
        <v>195</v>
      </c>
      <c r="D1313" s="284" t="s">
        <v>196</v>
      </c>
      <c r="E1313" s="284" t="s">
        <v>197</v>
      </c>
    </row>
    <row r="1314" spans="1:6" ht="30">
      <c r="A1314" s="285" t="s">
        <v>403</v>
      </c>
      <c r="B1314" s="299">
        <f>SUM($B322:$D322)</f>
        <v>8760</v>
      </c>
      <c r="C1314" s="299">
        <f>B322*24*$F14/$B1314</f>
        <v>522</v>
      </c>
      <c r="D1314" s="299">
        <f>C322*24*$F14/$B1314</f>
        <v>3444</v>
      </c>
      <c r="E1314" s="299">
        <f>D322*24*$F14/$B1314</f>
        <v>4794</v>
      </c>
      <c r="F1314" s="265"/>
    </row>
    <row r="1316" spans="1:6" ht="21" customHeight="1">
      <c r="A1316" s="1" t="s">
        <v>404</v>
      </c>
    </row>
    <row r="1317" spans="1:6">
      <c r="A1317" s="264" t="s">
        <v>217</v>
      </c>
    </row>
    <row r="1318" spans="1:6">
      <c r="A1318" s="269" t="s">
        <v>405</v>
      </c>
    </row>
    <row r="1319" spans="1:6">
      <c r="A1319" s="269" t="s">
        <v>406</v>
      </c>
    </row>
    <row r="1320" spans="1:6">
      <c r="A1320" s="269" t="s">
        <v>407</v>
      </c>
    </row>
    <row r="1321" spans="1:6">
      <c r="A1321" s="269" t="s">
        <v>408</v>
      </c>
    </row>
    <row r="1322" spans="1:6">
      <c r="A1322" s="270" t="s">
        <v>220</v>
      </c>
      <c r="B1322" s="270" t="s">
        <v>343</v>
      </c>
      <c r="C1322" s="270" t="s">
        <v>342</v>
      </c>
      <c r="D1322" s="270"/>
      <c r="E1322" s="270"/>
    </row>
    <row r="1323" spans="1:6">
      <c r="A1323" s="270" t="s">
        <v>223</v>
      </c>
      <c r="B1323" s="270" t="s">
        <v>391</v>
      </c>
      <c r="C1323" s="270" t="s">
        <v>409</v>
      </c>
      <c r="D1323" s="270"/>
      <c r="E1323" s="270"/>
    </row>
    <row r="1325" spans="1:6">
      <c r="C1325" s="295" t="s">
        <v>411</v>
      </c>
      <c r="D1325" s="295"/>
      <c r="E1325" s="295"/>
    </row>
    <row r="1326" spans="1:6">
      <c r="B1326" s="284" t="s">
        <v>410</v>
      </c>
      <c r="C1326" s="284" t="s">
        <v>195</v>
      </c>
      <c r="D1326" s="284" t="s">
        <v>196</v>
      </c>
      <c r="E1326" s="284" t="s">
        <v>197</v>
      </c>
    </row>
    <row r="1327" spans="1:6">
      <c r="A1327" s="285" t="s">
        <v>54</v>
      </c>
      <c r="B1327" s="289">
        <f t="shared" ref="B1327:B1335" si="80">SUM($B283:$D283)</f>
        <v>1</v>
      </c>
      <c r="C1327" s="289">
        <f t="shared" ref="C1327:E1335" si="81">IF($B1327,B283/$B1327,C$1314/$F$14/24)</f>
        <v>8.8740200313094042E-2</v>
      </c>
      <c r="D1327" s="289">
        <f t="shared" si="81"/>
        <v>0.46239559627820986</v>
      </c>
      <c r="E1327" s="289">
        <f t="shared" si="81"/>
        <v>0.44886420340869609</v>
      </c>
      <c r="F1327" s="265"/>
    </row>
    <row r="1328" spans="1:6">
      <c r="A1328" s="285" t="s">
        <v>55</v>
      </c>
      <c r="B1328" s="289">
        <f t="shared" si="80"/>
        <v>1</v>
      </c>
      <c r="C1328" s="289">
        <f t="shared" si="81"/>
        <v>0.10751585240751205</v>
      </c>
      <c r="D1328" s="289">
        <f t="shared" si="81"/>
        <v>0.53928993725192576</v>
      </c>
      <c r="E1328" s="289">
        <f t="shared" si="81"/>
        <v>0.35319421034056231</v>
      </c>
      <c r="F1328" s="265"/>
    </row>
    <row r="1329" spans="1:6">
      <c r="A1329" s="285" t="s">
        <v>91</v>
      </c>
      <c r="B1329" s="289">
        <f t="shared" si="80"/>
        <v>1</v>
      </c>
      <c r="C1329" s="289">
        <f t="shared" si="81"/>
        <v>1.3467452839655742E-3</v>
      </c>
      <c r="D1329" s="289">
        <f t="shared" si="81"/>
        <v>0.10870547020102579</v>
      </c>
      <c r="E1329" s="289">
        <f t="shared" si="81"/>
        <v>0.88994778451500867</v>
      </c>
      <c r="F1329" s="265"/>
    </row>
    <row r="1330" spans="1:6">
      <c r="A1330" s="285" t="s">
        <v>56</v>
      </c>
      <c r="B1330" s="289">
        <f t="shared" si="80"/>
        <v>1</v>
      </c>
      <c r="C1330" s="289">
        <f t="shared" si="81"/>
        <v>6.26200465507879E-2</v>
      </c>
      <c r="D1330" s="289">
        <f t="shared" si="81"/>
        <v>0.56596294840089356</v>
      </c>
      <c r="E1330" s="289">
        <f t="shared" si="81"/>
        <v>0.37141700504831854</v>
      </c>
      <c r="F1330" s="265"/>
    </row>
    <row r="1331" spans="1:6">
      <c r="A1331" s="285" t="s">
        <v>57</v>
      </c>
      <c r="B1331" s="289">
        <f t="shared" si="80"/>
        <v>1</v>
      </c>
      <c r="C1331" s="289">
        <f t="shared" si="81"/>
        <v>8.1156541207900612E-2</v>
      </c>
      <c r="D1331" s="289">
        <f t="shared" si="81"/>
        <v>0.63066077743340532</v>
      </c>
      <c r="E1331" s="289">
        <f t="shared" si="81"/>
        <v>0.28818268135869413</v>
      </c>
      <c r="F1331" s="265"/>
    </row>
    <row r="1332" spans="1:6">
      <c r="A1332" s="285" t="s">
        <v>92</v>
      </c>
      <c r="B1332" s="289">
        <f t="shared" si="80"/>
        <v>1</v>
      </c>
      <c r="C1332" s="289">
        <f t="shared" si="81"/>
        <v>2.1108855935806684E-3</v>
      </c>
      <c r="D1332" s="289">
        <f t="shared" si="81"/>
        <v>0.11802654892647897</v>
      </c>
      <c r="E1332" s="289">
        <f t="shared" si="81"/>
        <v>0.87986256547994035</v>
      </c>
      <c r="F1332" s="265"/>
    </row>
    <row r="1333" spans="1:6">
      <c r="A1333" s="285" t="s">
        <v>58</v>
      </c>
      <c r="B1333" s="289">
        <f t="shared" si="80"/>
        <v>1</v>
      </c>
      <c r="C1333" s="289">
        <f t="shared" si="81"/>
        <v>8.2970247934956221E-2</v>
      </c>
      <c r="D1333" s="289">
        <f t="shared" si="81"/>
        <v>0.62036110080486229</v>
      </c>
      <c r="E1333" s="289">
        <f t="shared" si="81"/>
        <v>0.29666865126018144</v>
      </c>
      <c r="F1333" s="265"/>
    </row>
    <row r="1334" spans="1:6">
      <c r="A1334" s="285" t="s">
        <v>59</v>
      </c>
      <c r="B1334" s="289">
        <f t="shared" si="80"/>
        <v>1</v>
      </c>
      <c r="C1334" s="289">
        <f t="shared" si="81"/>
        <v>8.1888603416870973E-2</v>
      </c>
      <c r="D1334" s="289">
        <f t="shared" si="81"/>
        <v>0.61855839995261419</v>
      </c>
      <c r="E1334" s="289">
        <f t="shared" si="81"/>
        <v>0.29955299663051482</v>
      </c>
      <c r="F1334" s="265"/>
    </row>
    <row r="1335" spans="1:6">
      <c r="A1335" s="285" t="s">
        <v>72</v>
      </c>
      <c r="B1335" s="289">
        <f t="shared" si="80"/>
        <v>1</v>
      </c>
      <c r="C1335" s="289">
        <f t="shared" si="81"/>
        <v>8.215022324053349E-2</v>
      </c>
      <c r="D1335" s="289">
        <f t="shared" si="81"/>
        <v>0.63955866566854391</v>
      </c>
      <c r="E1335" s="289">
        <f t="shared" si="81"/>
        <v>0.27829111109092258</v>
      </c>
      <c r="F1335" s="265"/>
    </row>
    <row r="1337" spans="1:6" ht="21" customHeight="1">
      <c r="A1337" s="1" t="s">
        <v>412</v>
      </c>
    </row>
    <row r="1338" spans="1:6">
      <c r="A1338" s="264" t="s">
        <v>217</v>
      </c>
    </row>
    <row r="1339" spans="1:6">
      <c r="A1339" s="269" t="s">
        <v>413</v>
      </c>
    </row>
    <row r="1340" spans="1:6">
      <c r="A1340" s="264" t="s">
        <v>414</v>
      </c>
    </row>
    <row r="1341" spans="1:6">
      <c r="A1341" s="264" t="s">
        <v>235</v>
      </c>
    </row>
    <row r="1343" spans="1:6">
      <c r="B1343" s="284" t="s">
        <v>195</v>
      </c>
      <c r="C1343" s="284" t="s">
        <v>196</v>
      </c>
      <c r="D1343" s="284" t="s">
        <v>197</v>
      </c>
    </row>
    <row r="1344" spans="1:6">
      <c r="A1344" s="285" t="s">
        <v>54</v>
      </c>
      <c r="B1344" s="298">
        <f>C$1327</f>
        <v>8.8740200313094042E-2</v>
      </c>
      <c r="C1344" s="298">
        <f>D$1327</f>
        <v>0.46239559627820986</v>
      </c>
      <c r="D1344" s="298">
        <f>E$1327</f>
        <v>0.44886420340869609</v>
      </c>
      <c r="E1344" s="265"/>
    </row>
    <row r="1345" spans="1:5">
      <c r="A1345" s="285" t="s">
        <v>55</v>
      </c>
      <c r="B1345" s="298">
        <f>C$1328</f>
        <v>0.10751585240751205</v>
      </c>
      <c r="C1345" s="298">
        <f>D$1328</f>
        <v>0.53928993725192576</v>
      </c>
      <c r="D1345" s="298">
        <f>E$1328</f>
        <v>0.35319421034056231</v>
      </c>
      <c r="E1345" s="265"/>
    </row>
    <row r="1346" spans="1:5">
      <c r="A1346" s="285" t="s">
        <v>91</v>
      </c>
      <c r="B1346" s="298">
        <f>C$1329</f>
        <v>1.3467452839655742E-3</v>
      </c>
      <c r="C1346" s="298">
        <f>D$1329</f>
        <v>0.10870547020102579</v>
      </c>
      <c r="D1346" s="298">
        <f>E$1329</f>
        <v>0.88994778451500867</v>
      </c>
      <c r="E1346" s="265"/>
    </row>
    <row r="1347" spans="1:5">
      <c r="A1347" s="285" t="s">
        <v>56</v>
      </c>
      <c r="B1347" s="298">
        <f>C$1330</f>
        <v>6.26200465507879E-2</v>
      </c>
      <c r="C1347" s="298">
        <f>D$1330</f>
        <v>0.56596294840089356</v>
      </c>
      <c r="D1347" s="298">
        <f>E$1330</f>
        <v>0.37141700504831854</v>
      </c>
      <c r="E1347" s="265"/>
    </row>
    <row r="1348" spans="1:5">
      <c r="A1348" s="285" t="s">
        <v>57</v>
      </c>
      <c r="B1348" s="298">
        <f>C$1331</f>
        <v>8.1156541207900612E-2</v>
      </c>
      <c r="C1348" s="298">
        <f>D$1331</f>
        <v>0.63066077743340532</v>
      </c>
      <c r="D1348" s="298">
        <f>E$1331</f>
        <v>0.28818268135869413</v>
      </c>
      <c r="E1348" s="265"/>
    </row>
    <row r="1349" spans="1:5">
      <c r="A1349" s="285" t="s">
        <v>92</v>
      </c>
      <c r="B1349" s="298">
        <f>C$1332</f>
        <v>2.1108855935806684E-3</v>
      </c>
      <c r="C1349" s="298">
        <f>D$1332</f>
        <v>0.11802654892647897</v>
      </c>
      <c r="D1349" s="298">
        <f>E$1332</f>
        <v>0.87986256547994035</v>
      </c>
      <c r="E1349" s="265"/>
    </row>
    <row r="1350" spans="1:5">
      <c r="A1350" s="285" t="s">
        <v>58</v>
      </c>
      <c r="B1350" s="298">
        <f>C$1333</f>
        <v>8.2970247934956221E-2</v>
      </c>
      <c r="C1350" s="298">
        <f>D$1333</f>
        <v>0.62036110080486229</v>
      </c>
      <c r="D1350" s="298">
        <f>E$1333</f>
        <v>0.29666865126018144</v>
      </c>
      <c r="E1350" s="265"/>
    </row>
    <row r="1351" spans="1:5">
      <c r="A1351" s="285" t="s">
        <v>59</v>
      </c>
      <c r="B1351" s="298">
        <f>C$1334</f>
        <v>8.1888603416870973E-2</v>
      </c>
      <c r="C1351" s="298">
        <f>D$1334</f>
        <v>0.61855839995261419</v>
      </c>
      <c r="D1351" s="298">
        <f>E$1334</f>
        <v>0.29955299663051482</v>
      </c>
      <c r="E1351" s="265"/>
    </row>
    <row r="1352" spans="1:5">
      <c r="A1352" s="285" t="s">
        <v>72</v>
      </c>
      <c r="B1352" s="298">
        <f>C$1335</f>
        <v>8.215022324053349E-2</v>
      </c>
      <c r="C1352" s="298">
        <f>D$1335</f>
        <v>0.63955866566854391</v>
      </c>
      <c r="D1352" s="298">
        <f>E$1335</f>
        <v>0.27829111109092258</v>
      </c>
      <c r="E1352" s="265"/>
    </row>
    <row r="1353" spans="1:5">
      <c r="A1353" s="285" t="s">
        <v>1178</v>
      </c>
      <c r="B1353" s="297">
        <v>1</v>
      </c>
      <c r="C1353" s="297">
        <v>0</v>
      </c>
      <c r="D1353" s="297">
        <v>0</v>
      </c>
      <c r="E1353" s="265"/>
    </row>
    <row r="1354" spans="1:5">
      <c r="A1354" s="285" t="s">
        <v>1177</v>
      </c>
      <c r="B1354" s="297">
        <v>1</v>
      </c>
      <c r="C1354" s="297">
        <v>0</v>
      </c>
      <c r="D1354" s="297">
        <v>0</v>
      </c>
      <c r="E1354" s="265"/>
    </row>
    <row r="1355" spans="1:5">
      <c r="A1355" s="285" t="s">
        <v>60</v>
      </c>
      <c r="B1355" s="297">
        <v>1</v>
      </c>
      <c r="C1355" s="297">
        <v>0</v>
      </c>
      <c r="D1355" s="297">
        <v>0</v>
      </c>
      <c r="E1355" s="265"/>
    </row>
    <row r="1356" spans="1:5">
      <c r="A1356" s="285" t="s">
        <v>61</v>
      </c>
      <c r="B1356" s="297">
        <v>1</v>
      </c>
      <c r="C1356" s="297">
        <v>0</v>
      </c>
      <c r="D1356" s="297">
        <v>0</v>
      </c>
      <c r="E1356" s="265"/>
    </row>
    <row r="1357" spans="1:5">
      <c r="A1357" s="285" t="s">
        <v>73</v>
      </c>
      <c r="B1357" s="297">
        <v>1</v>
      </c>
      <c r="C1357" s="297">
        <v>0</v>
      </c>
      <c r="D1357" s="297">
        <v>0</v>
      </c>
      <c r="E1357" s="265"/>
    </row>
    <row r="1358" spans="1:5">
      <c r="A1358" s="285" t="s">
        <v>64</v>
      </c>
      <c r="B1358" s="297">
        <v>1</v>
      </c>
      <c r="C1358" s="297">
        <v>0</v>
      </c>
      <c r="D1358" s="297">
        <v>0</v>
      </c>
      <c r="E1358" s="265"/>
    </row>
    <row r="1359" spans="1:5">
      <c r="A1359" s="285" t="s">
        <v>1517</v>
      </c>
      <c r="B1359" s="297">
        <v>1</v>
      </c>
      <c r="C1359" s="297">
        <v>0</v>
      </c>
      <c r="D1359" s="297">
        <v>0</v>
      </c>
      <c r="E1359" s="265"/>
    </row>
    <row r="1360" spans="1:5">
      <c r="A1360" s="285" t="s">
        <v>66</v>
      </c>
      <c r="B1360" s="297">
        <v>1</v>
      </c>
      <c r="C1360" s="297">
        <v>0</v>
      </c>
      <c r="D1360" s="297">
        <v>0</v>
      </c>
      <c r="E1360" s="265"/>
    </row>
    <row r="1361" spans="1:6">
      <c r="A1361" s="285" t="s">
        <v>1519</v>
      </c>
      <c r="B1361" s="297">
        <v>1</v>
      </c>
      <c r="C1361" s="297">
        <v>0</v>
      </c>
      <c r="D1361" s="297">
        <v>0</v>
      </c>
      <c r="E1361" s="265"/>
    </row>
    <row r="1362" spans="1:6">
      <c r="A1362" s="285" t="s">
        <v>75</v>
      </c>
      <c r="B1362" s="297">
        <v>1</v>
      </c>
      <c r="C1362" s="297">
        <v>0</v>
      </c>
      <c r="D1362" s="297">
        <v>0</v>
      </c>
      <c r="E1362" s="265"/>
    </row>
    <row r="1363" spans="1:6">
      <c r="A1363" s="285" t="s">
        <v>1521</v>
      </c>
      <c r="B1363" s="297">
        <v>1</v>
      </c>
      <c r="C1363" s="297">
        <v>0</v>
      </c>
      <c r="D1363" s="297">
        <v>0</v>
      </c>
      <c r="E1363" s="265"/>
    </row>
    <row r="1365" spans="1:6" ht="21" customHeight="1">
      <c r="A1365" s="1" t="s">
        <v>415</v>
      </c>
    </row>
    <row r="1366" spans="1:6">
      <c r="A1366" s="264" t="s">
        <v>217</v>
      </c>
    </row>
    <row r="1367" spans="1:6">
      <c r="A1367" s="269" t="s">
        <v>416</v>
      </c>
    </row>
    <row r="1368" spans="1:6">
      <c r="A1368" s="269" t="s">
        <v>417</v>
      </c>
    </row>
    <row r="1369" spans="1:6">
      <c r="A1369" s="269" t="s">
        <v>407</v>
      </c>
    </row>
    <row r="1370" spans="1:6">
      <c r="A1370" s="269" t="s">
        <v>408</v>
      </c>
    </row>
    <row r="1371" spans="1:6">
      <c r="A1371" s="270" t="s">
        <v>220</v>
      </c>
      <c r="B1371" s="270" t="s">
        <v>343</v>
      </c>
      <c r="C1371" s="270" t="s">
        <v>342</v>
      </c>
      <c r="D1371" s="270"/>
      <c r="E1371" s="270"/>
    </row>
    <row r="1372" spans="1:6">
      <c r="A1372" s="270" t="s">
        <v>223</v>
      </c>
      <c r="B1372" s="270" t="s">
        <v>391</v>
      </c>
      <c r="C1372" s="270" t="s">
        <v>409</v>
      </c>
      <c r="D1372" s="270"/>
      <c r="E1372" s="270"/>
    </row>
    <row r="1374" spans="1:6">
      <c r="C1374" s="295" t="s">
        <v>418</v>
      </c>
      <c r="D1374" s="295"/>
      <c r="E1374" s="295"/>
    </row>
    <row r="1375" spans="1:6">
      <c r="B1375" s="284" t="s">
        <v>410</v>
      </c>
      <c r="C1375" s="284" t="s">
        <v>195</v>
      </c>
      <c r="D1375" s="284" t="s">
        <v>196</v>
      </c>
      <c r="E1375" s="284" t="s">
        <v>197</v>
      </c>
    </row>
    <row r="1376" spans="1:6">
      <c r="A1376" s="285" t="s">
        <v>55</v>
      </c>
      <c r="B1376" s="289">
        <f>SUM($B296:$D296)</f>
        <v>1</v>
      </c>
      <c r="C1376" s="289">
        <f t="shared" ref="C1376:E1380" si="82">IF($B1376,B296/$B1376,C$1314/$F$14/24)</f>
        <v>0</v>
      </c>
      <c r="D1376" s="289">
        <f t="shared" si="82"/>
        <v>2.0980929821621391E-2</v>
      </c>
      <c r="E1376" s="289">
        <f t="shared" si="82"/>
        <v>0.97901907017837864</v>
      </c>
      <c r="F1376" s="265"/>
    </row>
    <row r="1377" spans="1:6">
      <c r="A1377" s="285" t="s">
        <v>57</v>
      </c>
      <c r="B1377" s="289">
        <f>SUM($B297:$D297)</f>
        <v>1</v>
      </c>
      <c r="C1377" s="289">
        <f t="shared" si="82"/>
        <v>0</v>
      </c>
      <c r="D1377" s="289">
        <f t="shared" si="82"/>
        <v>2.6444594802158033E-2</v>
      </c>
      <c r="E1377" s="289">
        <f t="shared" si="82"/>
        <v>0.97355540519784201</v>
      </c>
      <c r="F1377" s="265"/>
    </row>
    <row r="1378" spans="1:6">
      <c r="A1378" s="285" t="s">
        <v>58</v>
      </c>
      <c r="B1378" s="289">
        <f>SUM($B298:$D298)</f>
        <v>1</v>
      </c>
      <c r="C1378" s="289">
        <f t="shared" si="82"/>
        <v>0</v>
      </c>
      <c r="D1378" s="289">
        <f t="shared" si="82"/>
        <v>0</v>
      </c>
      <c r="E1378" s="289">
        <f t="shared" si="82"/>
        <v>1</v>
      </c>
      <c r="F1378" s="265"/>
    </row>
    <row r="1379" spans="1:6">
      <c r="A1379" s="285" t="s">
        <v>59</v>
      </c>
      <c r="B1379" s="289">
        <f>SUM($B299:$D299)</f>
        <v>1</v>
      </c>
      <c r="C1379" s="289">
        <f t="shared" si="82"/>
        <v>0</v>
      </c>
      <c r="D1379" s="289">
        <f t="shared" si="82"/>
        <v>0</v>
      </c>
      <c r="E1379" s="289">
        <f t="shared" si="82"/>
        <v>1</v>
      </c>
      <c r="F1379" s="265"/>
    </row>
    <row r="1380" spans="1:6">
      <c r="A1380" s="285" t="s">
        <v>72</v>
      </c>
      <c r="B1380" s="289">
        <f>SUM($B300:$D300)</f>
        <v>1</v>
      </c>
      <c r="C1380" s="289">
        <f t="shared" si="82"/>
        <v>0</v>
      </c>
      <c r="D1380" s="289">
        <f t="shared" si="82"/>
        <v>0</v>
      </c>
      <c r="E1380" s="289">
        <f t="shared" si="82"/>
        <v>1</v>
      </c>
      <c r="F1380" s="265"/>
    </row>
    <row r="1382" spans="1:6" ht="21" customHeight="1">
      <c r="A1382" s="1" t="s">
        <v>419</v>
      </c>
    </row>
    <row r="1383" spans="1:6">
      <c r="A1383" s="264" t="s">
        <v>217</v>
      </c>
    </row>
    <row r="1384" spans="1:6">
      <c r="A1384" s="269" t="s">
        <v>420</v>
      </c>
    </row>
    <row r="1385" spans="1:6">
      <c r="A1385" s="264" t="s">
        <v>421</v>
      </c>
    </row>
    <row r="1386" spans="1:6">
      <c r="A1386" s="264" t="s">
        <v>235</v>
      </c>
    </row>
    <row r="1388" spans="1:6">
      <c r="B1388" s="284" t="s">
        <v>195</v>
      </c>
      <c r="C1388" s="284" t="s">
        <v>196</v>
      </c>
      <c r="D1388" s="284" t="s">
        <v>197</v>
      </c>
    </row>
    <row r="1389" spans="1:6">
      <c r="A1389" s="285" t="s">
        <v>55</v>
      </c>
      <c r="B1389" s="298">
        <f>C$1376</f>
        <v>0</v>
      </c>
      <c r="C1389" s="298">
        <f>D$1376</f>
        <v>2.0980929821621391E-2</v>
      </c>
      <c r="D1389" s="298">
        <f>E$1376</f>
        <v>0.97901907017837864</v>
      </c>
      <c r="E1389" s="265"/>
    </row>
    <row r="1390" spans="1:6">
      <c r="A1390" s="285" t="s">
        <v>57</v>
      </c>
      <c r="B1390" s="298">
        <f>C$1377</f>
        <v>0</v>
      </c>
      <c r="C1390" s="298">
        <f>D$1377</f>
        <v>2.6444594802158033E-2</v>
      </c>
      <c r="D1390" s="298">
        <f>E$1377</f>
        <v>0.97355540519784201</v>
      </c>
      <c r="E1390" s="265"/>
    </row>
    <row r="1391" spans="1:6">
      <c r="A1391" s="285" t="s">
        <v>58</v>
      </c>
      <c r="B1391" s="298">
        <f>C$1378</f>
        <v>0</v>
      </c>
      <c r="C1391" s="298">
        <f>D$1378</f>
        <v>0</v>
      </c>
      <c r="D1391" s="298">
        <f>E$1378</f>
        <v>1</v>
      </c>
      <c r="E1391" s="265"/>
    </row>
    <row r="1392" spans="1:6">
      <c r="A1392" s="285" t="s">
        <v>59</v>
      </c>
      <c r="B1392" s="298">
        <f>C$1379</f>
        <v>0</v>
      </c>
      <c r="C1392" s="298">
        <f>D$1379</f>
        <v>0</v>
      </c>
      <c r="D1392" s="298">
        <f>E$1379</f>
        <v>1</v>
      </c>
      <c r="E1392" s="265"/>
    </row>
    <row r="1393" spans="1:5">
      <c r="A1393" s="285" t="s">
        <v>72</v>
      </c>
      <c r="B1393" s="298">
        <f>C$1380</f>
        <v>0</v>
      </c>
      <c r="C1393" s="298">
        <f>D$1380</f>
        <v>0</v>
      </c>
      <c r="D1393" s="298">
        <f>E$1380</f>
        <v>1</v>
      </c>
      <c r="E1393" s="265"/>
    </row>
    <row r="1394" spans="1:5">
      <c r="A1394" s="285" t="s">
        <v>1178</v>
      </c>
      <c r="B1394" s="297">
        <v>0</v>
      </c>
      <c r="C1394" s="297">
        <v>1</v>
      </c>
      <c r="D1394" s="297">
        <v>0</v>
      </c>
      <c r="E1394" s="265"/>
    </row>
    <row r="1395" spans="1:5">
      <c r="A1395" s="285" t="s">
        <v>1177</v>
      </c>
      <c r="B1395" s="297">
        <v>0</v>
      </c>
      <c r="C1395" s="297">
        <v>1</v>
      </c>
      <c r="D1395" s="297">
        <v>0</v>
      </c>
      <c r="E1395" s="265"/>
    </row>
    <row r="1396" spans="1:5">
      <c r="A1396" s="285" t="s">
        <v>60</v>
      </c>
      <c r="B1396" s="297">
        <v>0</v>
      </c>
      <c r="C1396" s="297">
        <v>1</v>
      </c>
      <c r="D1396" s="297">
        <v>0</v>
      </c>
      <c r="E1396" s="265"/>
    </row>
    <row r="1397" spans="1:5">
      <c r="A1397" s="285" t="s">
        <v>61</v>
      </c>
      <c r="B1397" s="297">
        <v>0</v>
      </c>
      <c r="C1397" s="297">
        <v>1</v>
      </c>
      <c r="D1397" s="297">
        <v>0</v>
      </c>
      <c r="E1397" s="265"/>
    </row>
    <row r="1398" spans="1:5">
      <c r="A1398" s="285" t="s">
        <v>73</v>
      </c>
      <c r="B1398" s="297">
        <v>0</v>
      </c>
      <c r="C1398" s="297">
        <v>1</v>
      </c>
      <c r="D1398" s="297">
        <v>0</v>
      </c>
      <c r="E1398" s="265"/>
    </row>
    <row r="1399" spans="1:5">
      <c r="A1399" s="285" t="s">
        <v>64</v>
      </c>
      <c r="B1399" s="297">
        <v>0</v>
      </c>
      <c r="C1399" s="297">
        <v>1</v>
      </c>
      <c r="D1399" s="297">
        <v>0</v>
      </c>
      <c r="E1399" s="265"/>
    </row>
    <row r="1400" spans="1:5">
      <c r="A1400" s="285" t="s">
        <v>1517</v>
      </c>
      <c r="B1400" s="297">
        <v>0</v>
      </c>
      <c r="C1400" s="297">
        <v>1</v>
      </c>
      <c r="D1400" s="297">
        <v>0</v>
      </c>
      <c r="E1400" s="265"/>
    </row>
    <row r="1401" spans="1:5">
      <c r="A1401" s="285" t="s">
        <v>66</v>
      </c>
      <c r="B1401" s="297">
        <v>0</v>
      </c>
      <c r="C1401" s="297">
        <v>1</v>
      </c>
      <c r="D1401" s="297">
        <v>0</v>
      </c>
      <c r="E1401" s="265"/>
    </row>
    <row r="1402" spans="1:5">
      <c r="A1402" s="285" t="s">
        <v>1519</v>
      </c>
      <c r="B1402" s="297">
        <v>0</v>
      </c>
      <c r="C1402" s="297">
        <v>1</v>
      </c>
      <c r="D1402" s="297">
        <v>0</v>
      </c>
      <c r="E1402" s="265"/>
    </row>
    <row r="1403" spans="1:5">
      <c r="A1403" s="285" t="s">
        <v>75</v>
      </c>
      <c r="B1403" s="297">
        <v>0</v>
      </c>
      <c r="C1403" s="297">
        <v>1</v>
      </c>
      <c r="D1403" s="297">
        <v>0</v>
      </c>
      <c r="E1403" s="265"/>
    </row>
    <row r="1404" spans="1:5">
      <c r="A1404" s="285" t="s">
        <v>1521</v>
      </c>
      <c r="B1404" s="297">
        <v>0</v>
      </c>
      <c r="C1404" s="297">
        <v>1</v>
      </c>
      <c r="D1404" s="297">
        <v>0</v>
      </c>
      <c r="E1404" s="265"/>
    </row>
    <row r="1406" spans="1:5" ht="21" customHeight="1">
      <c r="A1406" s="1" t="s">
        <v>422</v>
      </c>
    </row>
    <row r="1408" spans="1:5">
      <c r="B1408" s="284" t="s">
        <v>195</v>
      </c>
      <c r="C1408" s="284" t="s">
        <v>196</v>
      </c>
      <c r="D1408" s="284" t="s">
        <v>197</v>
      </c>
    </row>
    <row r="1409" spans="1:5">
      <c r="A1409" s="285" t="s">
        <v>1178</v>
      </c>
      <c r="B1409" s="297">
        <v>0</v>
      </c>
      <c r="C1409" s="297">
        <v>0</v>
      </c>
      <c r="D1409" s="297">
        <v>1</v>
      </c>
      <c r="E1409" s="265"/>
    </row>
    <row r="1410" spans="1:5">
      <c r="A1410" s="285" t="s">
        <v>1177</v>
      </c>
      <c r="B1410" s="297">
        <v>0</v>
      </c>
      <c r="C1410" s="297">
        <v>0</v>
      </c>
      <c r="D1410" s="297">
        <v>1</v>
      </c>
      <c r="E1410" s="265"/>
    </row>
    <row r="1411" spans="1:5">
      <c r="A1411" s="285" t="s">
        <v>60</v>
      </c>
      <c r="B1411" s="297">
        <v>0</v>
      </c>
      <c r="C1411" s="297">
        <v>0</v>
      </c>
      <c r="D1411" s="297">
        <v>1</v>
      </c>
      <c r="E1411" s="265"/>
    </row>
    <row r="1412" spans="1:5">
      <c r="A1412" s="285" t="s">
        <v>61</v>
      </c>
      <c r="B1412" s="297">
        <v>0</v>
      </c>
      <c r="C1412" s="297">
        <v>0</v>
      </c>
      <c r="D1412" s="297">
        <v>1</v>
      </c>
      <c r="E1412" s="265"/>
    </row>
    <row r="1413" spans="1:5">
      <c r="A1413" s="285" t="s">
        <v>73</v>
      </c>
      <c r="B1413" s="297">
        <v>0</v>
      </c>
      <c r="C1413" s="297">
        <v>0</v>
      </c>
      <c r="D1413" s="297">
        <v>1</v>
      </c>
      <c r="E1413" s="265"/>
    </row>
    <row r="1414" spans="1:5">
      <c r="A1414" s="285" t="s">
        <v>64</v>
      </c>
      <c r="B1414" s="297">
        <v>0</v>
      </c>
      <c r="C1414" s="297">
        <v>0</v>
      </c>
      <c r="D1414" s="297">
        <v>1</v>
      </c>
      <c r="E1414" s="265"/>
    </row>
    <row r="1415" spans="1:5">
      <c r="A1415" s="285" t="s">
        <v>1517</v>
      </c>
      <c r="B1415" s="297">
        <v>0</v>
      </c>
      <c r="C1415" s="297">
        <v>0</v>
      </c>
      <c r="D1415" s="297">
        <v>1</v>
      </c>
      <c r="E1415" s="265"/>
    </row>
    <row r="1416" spans="1:5">
      <c r="A1416" s="285" t="s">
        <v>66</v>
      </c>
      <c r="B1416" s="297">
        <v>0</v>
      </c>
      <c r="C1416" s="297">
        <v>0</v>
      </c>
      <c r="D1416" s="297">
        <v>1</v>
      </c>
      <c r="E1416" s="265"/>
    </row>
    <row r="1417" spans="1:5">
      <c r="A1417" s="285" t="s">
        <v>1519</v>
      </c>
      <c r="B1417" s="297">
        <v>0</v>
      </c>
      <c r="C1417" s="297">
        <v>0</v>
      </c>
      <c r="D1417" s="297">
        <v>1</v>
      </c>
      <c r="E1417" s="265"/>
    </row>
    <row r="1418" spans="1:5">
      <c r="A1418" s="285" t="s">
        <v>75</v>
      </c>
      <c r="B1418" s="297">
        <v>0</v>
      </c>
      <c r="C1418" s="297">
        <v>0</v>
      </c>
      <c r="D1418" s="297">
        <v>1</v>
      </c>
      <c r="E1418" s="265"/>
    </row>
    <row r="1419" spans="1:5">
      <c r="A1419" s="285" t="s">
        <v>1521</v>
      </c>
      <c r="B1419" s="297">
        <v>0</v>
      </c>
      <c r="C1419" s="297">
        <v>0</v>
      </c>
      <c r="D1419" s="297">
        <v>1</v>
      </c>
      <c r="E1419" s="265"/>
    </row>
    <row r="1421" spans="1:5" ht="21" customHeight="1">
      <c r="A1421" s="1" t="s">
        <v>423</v>
      </c>
    </row>
    <row r="1422" spans="1:5">
      <c r="A1422" s="264" t="s">
        <v>217</v>
      </c>
    </row>
    <row r="1423" spans="1:5">
      <c r="A1423" s="269" t="s">
        <v>424</v>
      </c>
    </row>
    <row r="1424" spans="1:5">
      <c r="A1424" s="269" t="s">
        <v>425</v>
      </c>
    </row>
    <row r="1425" spans="1:3">
      <c r="A1425" s="269" t="s">
        <v>426</v>
      </c>
    </row>
    <row r="1426" spans="1:3">
      <c r="A1426" s="264" t="s">
        <v>427</v>
      </c>
    </row>
    <row r="1428" spans="1:3">
      <c r="B1428" s="284" t="s">
        <v>428</v>
      </c>
    </row>
    <row r="1429" spans="1:3">
      <c r="A1429" s="285" t="s">
        <v>54</v>
      </c>
      <c r="B1429" s="275">
        <f t="shared" ref="B1429:B1461" si="83">B1268+C1268+D1268</f>
        <v>4330764.5850651627</v>
      </c>
      <c r="C1429" s="265"/>
    </row>
    <row r="1430" spans="1:3">
      <c r="A1430" s="285" t="s">
        <v>55</v>
      </c>
      <c r="B1430" s="275">
        <f t="shared" si="83"/>
        <v>1273698.8698222912</v>
      </c>
      <c r="C1430" s="265"/>
    </row>
    <row r="1431" spans="1:3">
      <c r="A1431" s="285" t="s">
        <v>91</v>
      </c>
      <c r="B1431" s="275">
        <f t="shared" si="83"/>
        <v>45959.708361578618</v>
      </c>
      <c r="C1431" s="265"/>
    </row>
    <row r="1432" spans="1:3">
      <c r="A1432" s="285" t="s">
        <v>56</v>
      </c>
      <c r="B1432" s="275">
        <f t="shared" si="83"/>
        <v>1182644.1894392911</v>
      </c>
      <c r="C1432" s="265"/>
    </row>
    <row r="1433" spans="1:3">
      <c r="A1433" s="285" t="s">
        <v>57</v>
      </c>
      <c r="B1433" s="275">
        <f t="shared" si="83"/>
        <v>578157.93908674805</v>
      </c>
      <c r="C1433" s="265"/>
    </row>
    <row r="1434" spans="1:3">
      <c r="A1434" s="285" t="s">
        <v>92</v>
      </c>
      <c r="B1434" s="275">
        <f t="shared" si="83"/>
        <v>17319.819478475714</v>
      </c>
      <c r="C1434" s="265"/>
    </row>
    <row r="1435" spans="1:3">
      <c r="A1435" s="285" t="s">
        <v>58</v>
      </c>
      <c r="B1435" s="275">
        <f t="shared" si="83"/>
        <v>1E-3</v>
      </c>
      <c r="C1435" s="265"/>
    </row>
    <row r="1436" spans="1:3">
      <c r="A1436" s="285" t="s">
        <v>59</v>
      </c>
      <c r="B1436" s="275">
        <f t="shared" si="83"/>
        <v>1E-3</v>
      </c>
      <c r="C1436" s="265"/>
    </row>
    <row r="1437" spans="1:3">
      <c r="A1437" s="285" t="s">
        <v>72</v>
      </c>
      <c r="B1437" s="275">
        <f t="shared" si="83"/>
        <v>1E-3</v>
      </c>
      <c r="C1437" s="265"/>
    </row>
    <row r="1438" spans="1:3">
      <c r="A1438" s="285" t="s">
        <v>1178</v>
      </c>
      <c r="B1438" s="275">
        <f t="shared" si="83"/>
        <v>0.1309337540173347</v>
      </c>
      <c r="C1438" s="265"/>
    </row>
    <row r="1439" spans="1:3">
      <c r="A1439" s="285" t="s">
        <v>1177</v>
      </c>
      <c r="B1439" s="275">
        <f t="shared" si="83"/>
        <v>414077.674080636</v>
      </c>
      <c r="C1439" s="265"/>
    </row>
    <row r="1440" spans="1:3">
      <c r="A1440" s="285" t="s">
        <v>60</v>
      </c>
      <c r="B1440" s="275">
        <f t="shared" si="83"/>
        <v>1279482.8360450412</v>
      </c>
      <c r="C1440" s="265"/>
    </row>
    <row r="1441" spans="1:3">
      <c r="A1441" s="285" t="s">
        <v>61</v>
      </c>
      <c r="B1441" s="275">
        <f t="shared" si="83"/>
        <v>760130.58925819886</v>
      </c>
      <c r="C1441" s="265"/>
    </row>
    <row r="1442" spans="1:3">
      <c r="A1442" s="285" t="s">
        <v>73</v>
      </c>
      <c r="B1442" s="275">
        <f t="shared" si="83"/>
        <v>2440758.6803487903</v>
      </c>
      <c r="C1442" s="265"/>
    </row>
    <row r="1443" spans="1:3">
      <c r="A1443" s="285" t="s">
        <v>93</v>
      </c>
      <c r="B1443" s="275">
        <f t="shared" si="83"/>
        <v>10216.676329270214</v>
      </c>
      <c r="C1443" s="265"/>
    </row>
    <row r="1444" spans="1:3">
      <c r="A1444" s="285" t="s">
        <v>94</v>
      </c>
      <c r="B1444" s="275">
        <f t="shared" si="83"/>
        <v>7875.3061605532412</v>
      </c>
      <c r="C1444" s="265"/>
    </row>
    <row r="1445" spans="1:3">
      <c r="A1445" s="285" t="s">
        <v>95</v>
      </c>
      <c r="B1445" s="275">
        <f t="shared" si="83"/>
        <v>993.54794623969281</v>
      </c>
      <c r="C1445" s="265"/>
    </row>
    <row r="1446" spans="1:3">
      <c r="A1446" s="285" t="s">
        <v>96</v>
      </c>
      <c r="B1446" s="275">
        <f t="shared" si="83"/>
        <v>0</v>
      </c>
      <c r="C1446" s="265"/>
    </row>
    <row r="1447" spans="1:3">
      <c r="A1447" s="285" t="s">
        <v>97</v>
      </c>
      <c r="B1447" s="275">
        <f t="shared" si="83"/>
        <v>113452.04203811059</v>
      </c>
      <c r="C1447" s="265"/>
    </row>
    <row r="1448" spans="1:3">
      <c r="A1448" s="285" t="s">
        <v>1176</v>
      </c>
      <c r="B1448" s="275">
        <f t="shared" si="83"/>
        <v>3347.6537483448274</v>
      </c>
      <c r="C1448" s="265"/>
    </row>
    <row r="1449" spans="1:3">
      <c r="A1449" s="285" t="s">
        <v>62</v>
      </c>
      <c r="B1449" s="275">
        <f t="shared" si="83"/>
        <v>92.074856879310332</v>
      </c>
      <c r="C1449" s="265"/>
    </row>
    <row r="1450" spans="1:3">
      <c r="A1450" s="285" t="s">
        <v>63</v>
      </c>
      <c r="B1450" s="275">
        <f t="shared" si="83"/>
        <v>79687.593191900029</v>
      </c>
      <c r="C1450" s="265"/>
    </row>
    <row r="1451" spans="1:3">
      <c r="A1451" s="285" t="s">
        <v>1516</v>
      </c>
      <c r="B1451" s="275">
        <f t="shared" si="83"/>
        <v>0</v>
      </c>
      <c r="C1451" s="265"/>
    </row>
    <row r="1452" spans="1:3">
      <c r="A1452" s="285" t="s">
        <v>64</v>
      </c>
      <c r="B1452" s="275">
        <f t="shared" si="83"/>
        <v>2299.2193917891755</v>
      </c>
      <c r="C1452" s="265"/>
    </row>
    <row r="1453" spans="1:3">
      <c r="A1453" s="285" t="s">
        <v>1517</v>
      </c>
      <c r="B1453" s="275">
        <f t="shared" si="83"/>
        <v>0</v>
      </c>
      <c r="C1453" s="265"/>
    </row>
    <row r="1454" spans="1:3">
      <c r="A1454" s="285" t="s">
        <v>65</v>
      </c>
      <c r="B1454" s="275">
        <f t="shared" si="83"/>
        <v>13040.742602439654</v>
      </c>
      <c r="C1454" s="265"/>
    </row>
    <row r="1455" spans="1:3">
      <c r="A1455" s="285" t="s">
        <v>1518</v>
      </c>
      <c r="B1455" s="275">
        <f t="shared" si="83"/>
        <v>0</v>
      </c>
      <c r="C1455" s="265"/>
    </row>
    <row r="1456" spans="1:3">
      <c r="A1456" s="285" t="s">
        <v>66</v>
      </c>
      <c r="B1456" s="275">
        <f t="shared" si="83"/>
        <v>4092.981835864925</v>
      </c>
      <c r="C1456" s="265"/>
    </row>
    <row r="1457" spans="1:5">
      <c r="A1457" s="285" t="s">
        <v>1519</v>
      </c>
      <c r="B1457" s="275">
        <f t="shared" si="83"/>
        <v>0</v>
      </c>
      <c r="C1457" s="265"/>
    </row>
    <row r="1458" spans="1:5">
      <c r="A1458" s="285" t="s">
        <v>74</v>
      </c>
      <c r="B1458" s="275">
        <f t="shared" si="83"/>
        <v>408827.55334948626</v>
      </c>
      <c r="C1458" s="265"/>
    </row>
    <row r="1459" spans="1:5">
      <c r="A1459" s="285" t="s">
        <v>1520</v>
      </c>
      <c r="B1459" s="275">
        <f t="shared" si="83"/>
        <v>0</v>
      </c>
      <c r="C1459" s="265"/>
    </row>
    <row r="1460" spans="1:5">
      <c r="A1460" s="285" t="s">
        <v>75</v>
      </c>
      <c r="B1460" s="275">
        <f t="shared" si="83"/>
        <v>248141.36068692038</v>
      </c>
      <c r="C1460" s="265"/>
    </row>
    <row r="1461" spans="1:5">
      <c r="A1461" s="285" t="s">
        <v>1521</v>
      </c>
      <c r="B1461" s="275">
        <f t="shared" si="83"/>
        <v>0</v>
      </c>
      <c r="C1461" s="265"/>
    </row>
    <row r="1463" spans="1:5" ht="21" customHeight="1">
      <c r="A1463" s="1" t="s">
        <v>1251</v>
      </c>
    </row>
    <row r="1464" spans="1:5">
      <c r="A1464" s="264" t="s">
        <v>217</v>
      </c>
    </row>
    <row r="1465" spans="1:5">
      <c r="A1465" s="269" t="s">
        <v>429</v>
      </c>
    </row>
    <row r="1466" spans="1:5">
      <c r="A1466" s="269" t="s">
        <v>430</v>
      </c>
    </row>
    <row r="1467" spans="1:5">
      <c r="A1467" s="269" t="s">
        <v>431</v>
      </c>
    </row>
    <row r="1468" spans="1:5">
      <c r="A1468" s="269" t="s">
        <v>485</v>
      </c>
    </row>
    <row r="1469" spans="1:5">
      <c r="A1469" s="269" t="s">
        <v>1250</v>
      </c>
    </row>
    <row r="1470" spans="1:5">
      <c r="A1470" s="269" t="s">
        <v>473</v>
      </c>
    </row>
    <row r="1471" spans="1:5">
      <c r="A1471" s="270" t="s">
        <v>220</v>
      </c>
      <c r="B1471" s="270" t="s">
        <v>342</v>
      </c>
      <c r="C1471" s="270"/>
      <c r="D1471" s="270"/>
      <c r="E1471" s="270" t="s">
        <v>342</v>
      </c>
    </row>
    <row r="1472" spans="1:5">
      <c r="A1472" s="270" t="s">
        <v>223</v>
      </c>
      <c r="B1472" s="270" t="s">
        <v>474</v>
      </c>
      <c r="C1472" s="270"/>
      <c r="D1472" s="270"/>
      <c r="E1472" s="270" t="s">
        <v>475</v>
      </c>
    </row>
    <row r="1474" spans="1:6">
      <c r="B1474" s="295" t="s">
        <v>1249</v>
      </c>
      <c r="C1474" s="295"/>
      <c r="D1474" s="295"/>
    </row>
    <row r="1475" spans="1:6" ht="30">
      <c r="B1475" s="284" t="s">
        <v>195</v>
      </c>
      <c r="C1475" s="284" t="s">
        <v>196</v>
      </c>
      <c r="D1475" s="284" t="s">
        <v>197</v>
      </c>
      <c r="E1475" s="284" t="s">
        <v>1248</v>
      </c>
    </row>
    <row r="1476" spans="1:6">
      <c r="A1476" s="285" t="s">
        <v>54</v>
      </c>
      <c r="B1476" s="289">
        <f>IF($B$1429&gt;0,($B$1268*B$1344)/$B$1429,0)</f>
        <v>8.8740200313094042E-2</v>
      </c>
      <c r="C1476" s="289">
        <f>IF($B$1429&gt;0,($B$1268*C$1344)/$B$1429,0)</f>
        <v>0.46239559627820986</v>
      </c>
      <c r="D1476" s="289">
        <f>IF($B$1429&gt;0,($B$1268*D$1344)/$B$1429,0)</f>
        <v>0.44886420340869609</v>
      </c>
      <c r="E1476" s="273">
        <f>IF($C$1314&gt;0,$B1476*$F$14*24/$C$1314,0)</f>
        <v>1.4892033615760611</v>
      </c>
      <c r="F1476" s="265"/>
    </row>
    <row r="1477" spans="1:6">
      <c r="A1477" s="285" t="s">
        <v>56</v>
      </c>
      <c r="B1477" s="289">
        <f>IF($B$1432&gt;0,($B$1271*B$1347)/$B$1432,0)</f>
        <v>6.26200465507879E-2</v>
      </c>
      <c r="C1477" s="289">
        <f>IF($B$1432&gt;0,($B$1271*C$1347)/$B$1432,0)</f>
        <v>0.56596294840089356</v>
      </c>
      <c r="D1477" s="289">
        <f>IF($B$1432&gt;0,($B$1271*D$1347)/$B$1432,0)</f>
        <v>0.37141700504831854</v>
      </c>
      <c r="E1477" s="273">
        <f>IF($C$1314&gt;0,$B1477*$F$14*24/$C$1314,0)</f>
        <v>1.0508651490132221</v>
      </c>
      <c r="F1477" s="265"/>
    </row>
    <row r="1479" spans="1:6" ht="21" customHeight="1">
      <c r="A1479" s="1" t="s">
        <v>1247</v>
      </c>
    </row>
    <row r="1480" spans="1:6">
      <c r="A1480" s="264" t="s">
        <v>217</v>
      </c>
    </row>
    <row r="1481" spans="1:6">
      <c r="A1481" s="269" t="s">
        <v>429</v>
      </c>
    </row>
    <row r="1482" spans="1:6">
      <c r="A1482" s="269" t="s">
        <v>430</v>
      </c>
    </row>
    <row r="1483" spans="1:6">
      <c r="A1483" s="269" t="s">
        <v>431</v>
      </c>
    </row>
    <row r="1484" spans="1:6">
      <c r="A1484" s="269" t="s">
        <v>432</v>
      </c>
    </row>
    <row r="1485" spans="1:6">
      <c r="A1485" s="269" t="s">
        <v>433</v>
      </c>
    </row>
    <row r="1486" spans="1:6">
      <c r="A1486" s="269" t="s">
        <v>434</v>
      </c>
    </row>
    <row r="1487" spans="1:6">
      <c r="A1487" s="269" t="s">
        <v>435</v>
      </c>
    </row>
    <row r="1488" spans="1:6">
      <c r="A1488" s="269" t="s">
        <v>436</v>
      </c>
    </row>
    <row r="1489" spans="1:6">
      <c r="A1489" s="270" t="s">
        <v>220</v>
      </c>
      <c r="B1489" s="270" t="s">
        <v>342</v>
      </c>
      <c r="C1489" s="270"/>
      <c r="D1489" s="270"/>
      <c r="E1489" s="270" t="s">
        <v>342</v>
      </c>
    </row>
    <row r="1490" spans="1:6">
      <c r="A1490" s="270" t="s">
        <v>223</v>
      </c>
      <c r="B1490" s="270" t="s">
        <v>437</v>
      </c>
      <c r="C1490" s="270"/>
      <c r="D1490" s="270"/>
      <c r="E1490" s="270" t="s">
        <v>438</v>
      </c>
    </row>
    <row r="1492" spans="1:6">
      <c r="B1492" s="295" t="s">
        <v>439</v>
      </c>
      <c r="C1492" s="295"/>
      <c r="D1492" s="295"/>
    </row>
    <row r="1493" spans="1:6" ht="30">
      <c r="B1493" s="284" t="s">
        <v>195</v>
      </c>
      <c r="C1493" s="284" t="s">
        <v>196</v>
      </c>
      <c r="D1493" s="284" t="s">
        <v>197</v>
      </c>
      <c r="E1493" s="284" t="s">
        <v>1160</v>
      </c>
    </row>
    <row r="1494" spans="1:6">
      <c r="A1494" s="285" t="s">
        <v>55</v>
      </c>
      <c r="B1494" s="289">
        <f>IF($B$1430&gt;0,($B$1269*B$1345+$C$1269*B$1389)/$B$1430,0)</f>
        <v>5.1401295879775592E-2</v>
      </c>
      <c r="C1494" s="289">
        <f>IF($B$1430&gt;0,($B$1269*C$1345+$C$1269*C$1389)/$B$1430,0)</f>
        <v>0.26877466489892837</v>
      </c>
      <c r="D1494" s="289">
        <f>IF($B$1430&gt;0,($B$1269*D$1345+$C$1269*D$1389)/$B$1430,0)</f>
        <v>0.67982403922129597</v>
      </c>
      <c r="E1494" s="273">
        <f>IF($C$1314&gt;0,$B1494*$F$14*24/$C$1314,0)</f>
        <v>0.86259645959163644</v>
      </c>
      <c r="F1494" s="265"/>
    </row>
    <row r="1495" spans="1:6">
      <c r="A1495" s="285" t="s">
        <v>57</v>
      </c>
      <c r="B1495" s="289">
        <f>IF($B$1433&gt;0,($B$1272*B$1348+$C$1272*B$1390)/$B$1433,0)</f>
        <v>5.5416264697322824E-2</v>
      </c>
      <c r="C1495" s="289">
        <f>IF($B$1433&gt;0,($B$1272*C$1348+$C$1272*C$1390)/$B$1433,0)</f>
        <v>0.43902260037935392</v>
      </c>
      <c r="D1495" s="289">
        <f>IF($B$1433&gt;0,($B$1272*D$1348+$C$1272*D$1390)/$B$1433,0)</f>
        <v>0.50556113492332333</v>
      </c>
      <c r="E1495" s="273">
        <f>IF($C$1314&gt;0,$B1495*$F$14*24/$C$1314,0)</f>
        <v>0.92997409721944058</v>
      </c>
      <c r="F1495" s="265"/>
    </row>
    <row r="1496" spans="1:6">
      <c r="A1496" s="285" t="s">
        <v>58</v>
      </c>
      <c r="B1496" s="289">
        <f>IF($B$1435&gt;0,($B$1274*B$1350+$C$1274*B$1391)/$B$1435,0)</f>
        <v>6.6486718057069696E-2</v>
      </c>
      <c r="C1496" s="289">
        <f>IF($B$1435&gt;0,($B$1274*C$1350+$C$1274*C$1391)/$B$1435,0)</f>
        <v>0.49711522659448398</v>
      </c>
      <c r="D1496" s="289">
        <f>IF($B$1435&gt;0,($B$1274*D$1350+$C$1274*D$1391)/$B$1435,0)</f>
        <v>0.43639805534844639</v>
      </c>
      <c r="E1496" s="273">
        <f>IF($C$1314&gt;0,$B1496*$F$14*24/$C$1314,0)</f>
        <v>1.1157541191186409</v>
      </c>
      <c r="F1496" s="265"/>
    </row>
    <row r="1497" spans="1:6">
      <c r="A1497" s="285" t="s">
        <v>59</v>
      </c>
      <c r="B1497" s="289">
        <f>IF($B$1436&gt;0,($B$1275*B$1351+$C$1275*B$1392)/$B$1436,0)</f>
        <v>6.4026760283992873E-2</v>
      </c>
      <c r="C1497" s="289">
        <f>IF($B$1436&gt;0,($B$1275*C$1351+$C$1275*C$1392)/$B$1436,0)</f>
        <v>0.48363616843973195</v>
      </c>
      <c r="D1497" s="289">
        <f>IF($B$1436&gt;0,($B$1275*D$1351+$C$1275*D$1392)/$B$1436,0)</f>
        <v>0.45233707127627504</v>
      </c>
      <c r="E1497" s="273">
        <f>IF($C$1314&gt;0,$B1497*$F$14*24/$C$1314,0)</f>
        <v>1.0744720691336735</v>
      </c>
      <c r="F1497" s="265"/>
    </row>
    <row r="1498" spans="1:6">
      <c r="A1498" s="285" t="s">
        <v>72</v>
      </c>
      <c r="B1498" s="289">
        <f>IF($B$1437&gt;0,($B$1276*B$1352+$C$1276*B$1393)/$B$1437,0)</f>
        <v>6.3997450093189787E-2</v>
      </c>
      <c r="C1498" s="289">
        <f>IF($B$1437&gt;0,($B$1276*C$1352+$C$1276*C$1393)/$B$1437,0)</f>
        <v>0.49823508900210123</v>
      </c>
      <c r="D1498" s="289">
        <f>IF($B$1437&gt;0,($B$1276*D$1352+$C$1276*D$1393)/$B$1437,0)</f>
        <v>0.43776746090470886</v>
      </c>
      <c r="E1498" s="273">
        <f>IF($C$1314&gt;0,$B1498*$F$14*24/$C$1314,0)</f>
        <v>1.0739801969661735</v>
      </c>
      <c r="F1498" s="265"/>
    </row>
    <row r="1500" spans="1:6" ht="21" customHeight="1">
      <c r="A1500" s="1" t="s">
        <v>1246</v>
      </c>
    </row>
    <row r="1501" spans="1:6">
      <c r="A1501" s="264" t="s">
        <v>217</v>
      </c>
    </row>
    <row r="1502" spans="1:6">
      <c r="A1502" s="269" t="s">
        <v>429</v>
      </c>
    </row>
    <row r="1503" spans="1:6">
      <c r="A1503" s="269" t="s">
        <v>430</v>
      </c>
    </row>
    <row r="1504" spans="1:6">
      <c r="A1504" s="269" t="s">
        <v>431</v>
      </c>
    </row>
    <row r="1505" spans="1:6">
      <c r="A1505" s="269" t="s">
        <v>432</v>
      </c>
    </row>
    <row r="1506" spans="1:6">
      <c r="A1506" s="269" t="s">
        <v>433</v>
      </c>
    </row>
    <row r="1507" spans="1:6">
      <c r="A1507" s="269" t="s">
        <v>440</v>
      </c>
    </row>
    <row r="1508" spans="1:6">
      <c r="A1508" s="269" t="s">
        <v>441</v>
      </c>
    </row>
    <row r="1509" spans="1:6">
      <c r="A1509" s="269" t="s">
        <v>442</v>
      </c>
    </row>
    <row r="1510" spans="1:6">
      <c r="A1510" s="269" t="s">
        <v>443</v>
      </c>
    </row>
    <row r="1511" spans="1:6">
      <c r="A1511" s="269" t="s">
        <v>444</v>
      </c>
    </row>
    <row r="1512" spans="1:6">
      <c r="A1512" s="270" t="s">
        <v>220</v>
      </c>
      <c r="B1512" s="270" t="s">
        <v>342</v>
      </c>
      <c r="C1512" s="270"/>
      <c r="D1512" s="270"/>
      <c r="E1512" s="270" t="s">
        <v>342</v>
      </c>
    </row>
    <row r="1513" spans="1:6">
      <c r="A1513" s="270" t="s">
        <v>223</v>
      </c>
      <c r="B1513" s="270" t="s">
        <v>445</v>
      </c>
      <c r="C1513" s="270"/>
      <c r="D1513" s="270"/>
      <c r="E1513" s="270" t="s">
        <v>446</v>
      </c>
    </row>
    <row r="1515" spans="1:6">
      <c r="B1515" s="295" t="s">
        <v>447</v>
      </c>
      <c r="C1515" s="295"/>
      <c r="D1515" s="295"/>
    </row>
    <row r="1516" spans="1:6" ht="30">
      <c r="B1516" s="284" t="s">
        <v>195</v>
      </c>
      <c r="C1516" s="284" t="s">
        <v>196</v>
      </c>
      <c r="D1516" s="284" t="s">
        <v>197</v>
      </c>
      <c r="E1516" s="284" t="s">
        <v>1159</v>
      </c>
    </row>
    <row r="1517" spans="1:6">
      <c r="A1517" s="285" t="s">
        <v>1178</v>
      </c>
      <c r="B1517" s="289">
        <f>IF($B$1438&gt;0,($B$1277*B$1353+$C$1277*B$1394+$D$1277*B$1409)/$B$1438,0)</f>
        <v>0.16831719612952512</v>
      </c>
      <c r="C1517" s="289">
        <f>IF($B$1438&gt;0,($B$1277*C$1353+$C$1277*C$1394+$D$1277*C$1409)/$B$1438,0)</f>
        <v>0.42772153315961503</v>
      </c>
      <c r="D1517" s="289">
        <f>IF($B$1438&gt;0,($B$1277*D$1353+$C$1277*D$1394+$D$1277*D$1409)/$B$1438,0)</f>
        <v>0.40396127071086002</v>
      </c>
      <c r="E1517" s="273">
        <f>IF($C$1314&gt;0,$B1517*$F$14*24/$C$1314,0)</f>
        <v>2.8246334063115706</v>
      </c>
      <c r="F1517" s="265"/>
    </row>
    <row r="1518" spans="1:6">
      <c r="A1518" s="285" t="s">
        <v>1177</v>
      </c>
      <c r="B1518" s="289">
        <f>IF($B$1439&gt;0,($B$1278*B$1354+$C$1278*B$1395+$D$1278*B$1410)/$B$1439,0)</f>
        <v>6.4943057205413629E-2</v>
      </c>
      <c r="C1518" s="289">
        <f>IF($B$1439&gt;0,($B$1278*C$1354+$C$1278*C$1395+$D$1278*C$1410)/$B$1439,0)</f>
        <v>0.48041251875979823</v>
      </c>
      <c r="D1518" s="289">
        <f>IF($B$1439&gt;0,($B$1278*D$1354+$C$1278*D$1395+$D$1278*D$1410)/$B$1439,0)</f>
        <v>0.45464442403478805</v>
      </c>
      <c r="E1518" s="273">
        <f>IF($C$1314&gt;0,$B1518*$F$14*24/$C$1314,0)</f>
        <v>1.0898490059759069</v>
      </c>
      <c r="F1518" s="265"/>
    </row>
    <row r="1519" spans="1:6">
      <c r="A1519" s="285" t="s">
        <v>60</v>
      </c>
      <c r="B1519" s="289">
        <f>IF($B$1440&gt;0,($B$1279*B$1355+$C$1279*B$1396+$D$1279*B$1411)/$B$1440,0)</f>
        <v>6.8307299995619714E-2</v>
      </c>
      <c r="C1519" s="289">
        <f>IF($B$1440&gt;0,($B$1279*C$1355+$C$1279*C$1396+$D$1279*C$1411)/$B$1440,0)</f>
        <v>0.49556075271085626</v>
      </c>
      <c r="D1519" s="289">
        <f>IF($B$1440&gt;0,($B$1279*D$1355+$C$1279*D$1396+$D$1279*D$1411)/$B$1440,0)</f>
        <v>0.43613194729352389</v>
      </c>
      <c r="E1519" s="273">
        <f>IF($C$1314&gt;0,$B1519*$F$14*24/$C$1314,0)</f>
        <v>1.1463064137195953</v>
      </c>
      <c r="F1519" s="265"/>
    </row>
    <row r="1520" spans="1:6">
      <c r="A1520" s="285" t="s">
        <v>61</v>
      </c>
      <c r="B1520" s="289">
        <f>IF($B$1441&gt;0,($B$1280*B$1356+$C$1280*B$1397+$D$1280*B$1412)/$B$1441,0)</f>
        <v>6.5605786077003111E-2</v>
      </c>
      <c r="C1520" s="289">
        <f>IF($B$1441&gt;0,($B$1280*C$1356+$C$1280*C$1397+$D$1280*C$1412)/$B$1441,0)</f>
        <v>0.48638149778203493</v>
      </c>
      <c r="D1520" s="289">
        <f>IF($B$1441&gt;0,($B$1280*D$1356+$C$1280*D$1397+$D$1280*D$1412)/$B$1441,0)</f>
        <v>0.448012716140962</v>
      </c>
      <c r="E1520" s="273">
        <f>IF($C$1314&gt;0,$B1520*$F$14*24/$C$1314,0)</f>
        <v>1.1009706629014315</v>
      </c>
      <c r="F1520" s="265"/>
    </row>
    <row r="1521" spans="1:6">
      <c r="A1521" s="285" t="s">
        <v>73</v>
      </c>
      <c r="B1521" s="289">
        <f>IF($B$1442&gt;0,($B$1281*B$1357+$C$1281*B$1398+$D$1281*B$1413)/$B$1442,0)</f>
        <v>6.3145815337421474E-2</v>
      </c>
      <c r="C1521" s="289">
        <f>IF($B$1442&gt;0,($B$1281*C$1357+$C$1281*C$1398+$D$1281*C$1413)/$B$1442,0)</f>
        <v>0.44961020952369757</v>
      </c>
      <c r="D1521" s="289">
        <f>IF($B$1442&gt;0,($B$1281*D$1357+$C$1281*D$1398+$D$1281*D$1413)/$B$1442,0)</f>
        <v>0.48724397513888101</v>
      </c>
      <c r="E1521" s="273">
        <f>IF($C$1314&gt;0,$B1521*$F$14*24/$C$1314,0)</f>
        <v>1.0596883953176475</v>
      </c>
      <c r="F1521" s="265"/>
    </row>
    <row r="1523" spans="1:6" ht="21" customHeight="1">
      <c r="A1523" s="1" t="s">
        <v>1245</v>
      </c>
    </row>
    <row r="1524" spans="1:6">
      <c r="A1524" s="264" t="s">
        <v>217</v>
      </c>
    </row>
    <row r="1525" spans="1:6">
      <c r="A1525" s="269" t="s">
        <v>1244</v>
      </c>
    </row>
    <row r="1526" spans="1:6">
      <c r="A1526" s="269" t="s">
        <v>1243</v>
      </c>
    </row>
    <row r="1527" spans="1:6">
      <c r="A1527" s="269" t="s">
        <v>1242</v>
      </c>
    </row>
    <row r="1528" spans="1:6">
      <c r="A1528" s="269" t="s">
        <v>1241</v>
      </c>
    </row>
    <row r="1529" spans="1:6">
      <c r="A1529" s="269" t="s">
        <v>1240</v>
      </c>
    </row>
    <row r="1530" spans="1:6">
      <c r="A1530" s="270" t="s">
        <v>220</v>
      </c>
      <c r="B1530" s="270" t="s">
        <v>375</v>
      </c>
      <c r="C1530" s="270" t="s">
        <v>342</v>
      </c>
    </row>
    <row r="1531" spans="1:6">
      <c r="A1531" s="270" t="s">
        <v>223</v>
      </c>
      <c r="B1531" s="270" t="s">
        <v>1239</v>
      </c>
      <c r="C1531" s="270" t="s">
        <v>1238</v>
      </c>
    </row>
    <row r="1533" spans="1:6" ht="45">
      <c r="B1533" s="284" t="s">
        <v>1158</v>
      </c>
      <c r="C1533" s="284" t="s">
        <v>449</v>
      </c>
    </row>
    <row r="1534" spans="1:6">
      <c r="A1534" s="285" t="s">
        <v>54</v>
      </c>
      <c r="B1534" s="274">
        <f>E$1476</f>
        <v>1.4892033615760611</v>
      </c>
      <c r="C1534" s="273">
        <f>IF($B1534&lt;&gt;0,B$980/$B1534,IF(B$980&lt;0,-1,1))</f>
        <v>1.4718908481994886</v>
      </c>
      <c r="D1534" s="265"/>
    </row>
    <row r="1535" spans="1:6">
      <c r="A1535" s="285" t="s">
        <v>55</v>
      </c>
      <c r="B1535" s="274">
        <f>E$1494</f>
        <v>0.86259645959163644</v>
      </c>
      <c r="C1535" s="273">
        <f>IF($B1535&lt;&gt;0,B$981/$B1535,IF(B$981&lt;0,-1,1))</f>
        <v>1.5397884096717185</v>
      </c>
      <c r="D1535" s="265"/>
    </row>
    <row r="1536" spans="1:6">
      <c r="A1536" s="285" t="s">
        <v>91</v>
      </c>
      <c r="B1536" s="291"/>
      <c r="C1536" s="273">
        <f>IF($B1536&lt;&gt;0,B$982/$B1536,IF(B$982&lt;0,-1,1))</f>
        <v>1</v>
      </c>
      <c r="D1536" s="265"/>
    </row>
    <row r="1537" spans="1:4">
      <c r="A1537" s="285" t="s">
        <v>56</v>
      </c>
      <c r="B1537" s="274">
        <f>E$1477</f>
        <v>1.0508651490132221</v>
      </c>
      <c r="C1537" s="273">
        <f>IF($B1537&lt;&gt;0,B$983/$B1537,IF(B$983&lt;0,-1,1))</f>
        <v>1.5447050318113729</v>
      </c>
      <c r="D1537" s="265"/>
    </row>
    <row r="1538" spans="1:4">
      <c r="A1538" s="285" t="s">
        <v>57</v>
      </c>
      <c r="B1538" s="274">
        <f>E$1495</f>
        <v>0.92997409721944058</v>
      </c>
      <c r="C1538" s="273">
        <f>IF($B1538&lt;&gt;0,B$984/$B1538,IF(B$984&lt;0,-1,1))</f>
        <v>1.4759790616344388</v>
      </c>
      <c r="D1538" s="265"/>
    </row>
    <row r="1539" spans="1:4">
      <c r="A1539" s="285" t="s">
        <v>92</v>
      </c>
      <c r="B1539" s="291"/>
      <c r="C1539" s="273">
        <f>IF($B1539&lt;&gt;0,B$985/$B1539,IF(B$985&lt;0,-1,1))</f>
        <v>1</v>
      </c>
      <c r="D1539" s="265"/>
    </row>
    <row r="1540" spans="1:4">
      <c r="A1540" s="285" t="s">
        <v>58</v>
      </c>
      <c r="B1540" s="274">
        <f>E$1496</f>
        <v>1.1157541191186409</v>
      </c>
      <c r="C1540" s="273">
        <f>IF($B1540&lt;&gt;0,B$986/$B1540,IF(B$986&lt;0,-1,1))</f>
        <v>1.2962917771204436</v>
      </c>
      <c r="D1540" s="265"/>
    </row>
    <row r="1541" spans="1:4">
      <c r="A1541" s="285" t="s">
        <v>59</v>
      </c>
      <c r="B1541" s="274">
        <f>E$1497</f>
        <v>1.0744720691336735</v>
      </c>
      <c r="C1541" s="273">
        <f>IF($B1541&lt;&gt;0,B$987/$B1541,IF(B$987&lt;0,-1,1))</f>
        <v>1.3000270048733062</v>
      </c>
      <c r="D1541" s="265"/>
    </row>
    <row r="1542" spans="1:4">
      <c r="A1542" s="285" t="s">
        <v>72</v>
      </c>
      <c r="B1542" s="274">
        <f>E$1498</f>
        <v>1.0739801969661735</v>
      </c>
      <c r="C1542" s="273">
        <f>IF($B1542&lt;&gt;0,B$988/$B1542,IF(B$988&lt;0,-1,1))</f>
        <v>1.3574938648656121</v>
      </c>
      <c r="D1542" s="265"/>
    </row>
    <row r="1543" spans="1:4">
      <c r="A1543" s="285" t="s">
        <v>1178</v>
      </c>
      <c r="B1543" s="274">
        <f>E$1517</f>
        <v>2.8246334063115706</v>
      </c>
      <c r="C1543" s="273">
        <f>IF($B1543&lt;&gt;0,B$989/$B1543,IF(B$989&lt;0,-1,1))</f>
        <v>0.74981786930043626</v>
      </c>
      <c r="D1543" s="265"/>
    </row>
    <row r="1544" spans="1:4">
      <c r="A1544" s="285" t="s">
        <v>1177</v>
      </c>
      <c r="B1544" s="274">
        <f>E$1518</f>
        <v>1.0898490059759069</v>
      </c>
      <c r="C1544" s="273">
        <f>IF($B1544&lt;&gt;0,B$990/$B1544,IF(B$990&lt;0,-1,1))</f>
        <v>1.4620245140148367</v>
      </c>
      <c r="D1544" s="265"/>
    </row>
    <row r="1545" spans="1:4">
      <c r="A1545" s="285" t="s">
        <v>60</v>
      </c>
      <c r="B1545" s="274">
        <f>E$1519</f>
        <v>1.1463064137195953</v>
      </c>
      <c r="C1545" s="273">
        <f>IF($B1545&lt;&gt;0,B$991/$B1545,IF(B$991&lt;0,-1,1))</f>
        <v>1.1926232054203922</v>
      </c>
      <c r="D1545" s="265"/>
    </row>
    <row r="1546" spans="1:4">
      <c r="A1546" s="285" t="s">
        <v>61</v>
      </c>
      <c r="B1546" s="274">
        <f>E$1520</f>
        <v>1.1009706629014315</v>
      </c>
      <c r="C1546" s="273">
        <f>IF($B1546&lt;&gt;0,B$992/$B1546,IF(B$992&lt;0,-1,1))</f>
        <v>1.1374752315048733</v>
      </c>
      <c r="D1546" s="265"/>
    </row>
    <row r="1547" spans="1:4">
      <c r="A1547" s="285" t="s">
        <v>73</v>
      </c>
      <c r="B1547" s="274">
        <f>E$1521</f>
        <v>1.0596883953176475</v>
      </c>
      <c r="C1547" s="273">
        <f>IF($B1547&lt;&gt;0,B$993/$B1547,IF(B$993&lt;0,-1,1))</f>
        <v>1.0451127855465627</v>
      </c>
      <c r="D1547" s="265"/>
    </row>
    <row r="1548" spans="1:4">
      <c r="A1548" s="285" t="s">
        <v>64</v>
      </c>
      <c r="B1548" s="291"/>
      <c r="C1548" s="273">
        <f>IF($B1548&lt;&gt;0,B$1003/$B1548,IF(B$1003&lt;0,-1,1))</f>
        <v>-1</v>
      </c>
      <c r="D1548" s="265"/>
    </row>
    <row r="1549" spans="1:4">
      <c r="A1549" s="285" t="s">
        <v>1517</v>
      </c>
      <c r="B1549" s="291"/>
      <c r="C1549" s="273">
        <f>IF($B1549&lt;&gt;0,B$1004/$B1549,IF(B$1004&lt;0,-1,1))</f>
        <v>-1</v>
      </c>
      <c r="D1549" s="265"/>
    </row>
    <row r="1550" spans="1:4">
      <c r="A1550" s="285" t="s">
        <v>66</v>
      </c>
      <c r="B1550" s="291"/>
      <c r="C1550" s="273">
        <f>IF($B1550&lt;&gt;0,B$1007/$B1550,IF(B$1007&lt;0,-1,1))</f>
        <v>-1</v>
      </c>
      <c r="D1550" s="265"/>
    </row>
    <row r="1551" spans="1:4">
      <c r="A1551" s="285" t="s">
        <v>1519</v>
      </c>
      <c r="B1551" s="291"/>
      <c r="C1551" s="273">
        <f>IF($B1551&lt;&gt;0,B$1008/$B1551,IF(B$1008&lt;0,-1,1))</f>
        <v>-1</v>
      </c>
      <c r="D1551" s="265"/>
    </row>
    <row r="1552" spans="1:4">
      <c r="A1552" s="285" t="s">
        <v>75</v>
      </c>
      <c r="B1552" s="291"/>
      <c r="C1552" s="273">
        <f>IF($B1552&lt;&gt;0,B$1011/$B1552,IF(B$1011&lt;0,-1,1))</f>
        <v>-1</v>
      </c>
      <c r="D1552" s="265"/>
    </row>
    <row r="1553" spans="1:6">
      <c r="A1553" s="285" t="s">
        <v>1521</v>
      </c>
      <c r="B1553" s="291"/>
      <c r="C1553" s="273">
        <f>IF($B1553&lt;&gt;0,B$1012/$B1553,IF(B$1012&lt;0,-1,1))</f>
        <v>-1</v>
      </c>
      <c r="D1553" s="265"/>
    </row>
    <row r="1555" spans="1:6" ht="21" customHeight="1">
      <c r="A1555" s="1" t="s">
        <v>1237</v>
      </c>
    </row>
    <row r="1556" spans="1:6">
      <c r="A1556" s="264" t="s">
        <v>217</v>
      </c>
    </row>
    <row r="1557" spans="1:6">
      <c r="A1557" s="269" t="s">
        <v>450</v>
      </c>
    </row>
    <row r="1558" spans="1:6">
      <c r="A1558" s="269" t="s">
        <v>451</v>
      </c>
    </row>
    <row r="1559" spans="1:6">
      <c r="A1559" s="269" t="s">
        <v>452</v>
      </c>
    </row>
    <row r="1560" spans="1:6">
      <c r="A1560" s="269" t="s">
        <v>453</v>
      </c>
    </row>
    <row r="1561" spans="1:6">
      <c r="A1561" s="270" t="s">
        <v>220</v>
      </c>
      <c r="B1561" s="270" t="s">
        <v>343</v>
      </c>
      <c r="C1561" s="270" t="s">
        <v>342</v>
      </c>
      <c r="D1561" s="270"/>
      <c r="E1561" s="270"/>
    </row>
    <row r="1562" spans="1:6">
      <c r="A1562" s="270" t="s">
        <v>223</v>
      </c>
      <c r="B1562" s="270" t="s">
        <v>391</v>
      </c>
      <c r="C1562" s="270" t="s">
        <v>454</v>
      </c>
      <c r="D1562" s="270"/>
      <c r="E1562" s="270"/>
    </row>
    <row r="1564" spans="1:6">
      <c r="C1564" s="295" t="s">
        <v>456</v>
      </c>
      <c r="D1564" s="295"/>
      <c r="E1564" s="295"/>
    </row>
    <row r="1565" spans="1:6" ht="30">
      <c r="B1565" s="284" t="s">
        <v>455</v>
      </c>
      <c r="C1565" s="284" t="s">
        <v>195</v>
      </c>
      <c r="D1565" s="284" t="s">
        <v>196</v>
      </c>
      <c r="E1565" s="284" t="s">
        <v>197</v>
      </c>
    </row>
    <row r="1566" spans="1:6">
      <c r="A1566" s="285" t="s">
        <v>22</v>
      </c>
      <c r="B1566" s="289">
        <f t="shared" ref="B1566:B1574" si="84">SUM($B329:$D329)</f>
        <v>1</v>
      </c>
      <c r="C1566" s="289">
        <f t="shared" ref="C1566:E1574" si="85">IF($B1566,B329/$B1566,B$322/$B$1314)</f>
        <v>1</v>
      </c>
      <c r="D1566" s="289">
        <f t="shared" si="85"/>
        <v>0</v>
      </c>
      <c r="E1566" s="289">
        <f t="shared" si="85"/>
        <v>0</v>
      </c>
      <c r="F1566" s="265"/>
    </row>
    <row r="1567" spans="1:6">
      <c r="A1567" s="285" t="s">
        <v>23</v>
      </c>
      <c r="B1567" s="289">
        <f t="shared" si="84"/>
        <v>0.99999999999999989</v>
      </c>
      <c r="C1567" s="289">
        <f t="shared" si="85"/>
        <v>0.84421935577541163</v>
      </c>
      <c r="D1567" s="289">
        <f t="shared" si="85"/>
        <v>9.0147705546417989E-2</v>
      </c>
      <c r="E1567" s="289">
        <f t="shared" si="85"/>
        <v>6.5632938678170466E-2</v>
      </c>
      <c r="F1567" s="265"/>
    </row>
    <row r="1568" spans="1:6">
      <c r="A1568" s="285" t="s">
        <v>24</v>
      </c>
      <c r="B1568" s="289">
        <f t="shared" si="84"/>
        <v>0.99999999999999989</v>
      </c>
      <c r="C1568" s="289">
        <f t="shared" si="85"/>
        <v>0.84421935577541163</v>
      </c>
      <c r="D1568" s="289">
        <f t="shared" si="85"/>
        <v>9.0147705546417989E-2</v>
      </c>
      <c r="E1568" s="289">
        <f t="shared" si="85"/>
        <v>6.5632938678170466E-2</v>
      </c>
      <c r="F1568" s="265"/>
    </row>
    <row r="1569" spans="1:38">
      <c r="A1569" s="285" t="s">
        <v>25</v>
      </c>
      <c r="B1569" s="289">
        <f t="shared" si="84"/>
        <v>1</v>
      </c>
      <c r="C1569" s="289">
        <f t="shared" si="85"/>
        <v>0.60266573066353191</v>
      </c>
      <c r="D1569" s="289">
        <f t="shared" si="85"/>
        <v>0.31015129614903031</v>
      </c>
      <c r="E1569" s="289">
        <f t="shared" si="85"/>
        <v>8.7182973187437854E-2</v>
      </c>
      <c r="F1569" s="265"/>
    </row>
    <row r="1570" spans="1:38">
      <c r="A1570" s="285" t="s">
        <v>26</v>
      </c>
      <c r="B1570" s="289">
        <f t="shared" si="84"/>
        <v>1</v>
      </c>
      <c r="C1570" s="289">
        <f t="shared" si="85"/>
        <v>0.60266573066353191</v>
      </c>
      <c r="D1570" s="289">
        <f t="shared" si="85"/>
        <v>0.31015129614903031</v>
      </c>
      <c r="E1570" s="289">
        <f t="shared" si="85"/>
        <v>8.7182973187437854E-2</v>
      </c>
      <c r="F1570" s="265"/>
    </row>
    <row r="1571" spans="1:38">
      <c r="A1571" s="285" t="s">
        <v>31</v>
      </c>
      <c r="B1571" s="289">
        <f t="shared" si="84"/>
        <v>0.99999999999999989</v>
      </c>
      <c r="C1571" s="289">
        <f t="shared" si="85"/>
        <v>0.84421935577541163</v>
      </c>
      <c r="D1571" s="289">
        <f t="shared" si="85"/>
        <v>9.0147705546417989E-2</v>
      </c>
      <c r="E1571" s="289">
        <f t="shared" si="85"/>
        <v>6.5632938678170466E-2</v>
      </c>
      <c r="F1571" s="265"/>
    </row>
    <row r="1572" spans="1:38">
      <c r="A1572" s="285" t="s">
        <v>27</v>
      </c>
      <c r="B1572" s="289">
        <f t="shared" si="84"/>
        <v>1</v>
      </c>
      <c r="C1572" s="289">
        <f t="shared" si="85"/>
        <v>0.60266573066353191</v>
      </c>
      <c r="D1572" s="289">
        <f t="shared" si="85"/>
        <v>0.31015129614903031</v>
      </c>
      <c r="E1572" s="289">
        <f t="shared" si="85"/>
        <v>8.7182973187437854E-2</v>
      </c>
      <c r="F1572" s="265"/>
    </row>
    <row r="1573" spans="1:38">
      <c r="A1573" s="285" t="s">
        <v>28</v>
      </c>
      <c r="B1573" s="289">
        <f t="shared" si="84"/>
        <v>1</v>
      </c>
      <c r="C1573" s="289">
        <f t="shared" si="85"/>
        <v>0.60266573066353191</v>
      </c>
      <c r="D1573" s="289">
        <f t="shared" si="85"/>
        <v>0.31015129614903031</v>
      </c>
      <c r="E1573" s="289">
        <f t="shared" si="85"/>
        <v>8.7182973187437854E-2</v>
      </c>
      <c r="F1573" s="265"/>
    </row>
    <row r="1574" spans="1:38">
      <c r="A1574" s="285" t="s">
        <v>29</v>
      </c>
      <c r="B1574" s="289">
        <f t="shared" si="84"/>
        <v>1</v>
      </c>
      <c r="C1574" s="289">
        <f t="shared" si="85"/>
        <v>0.60266573066353191</v>
      </c>
      <c r="D1574" s="289">
        <f t="shared" si="85"/>
        <v>0.31015129614903031</v>
      </c>
      <c r="E1574" s="289">
        <f t="shared" si="85"/>
        <v>8.7182973187437854E-2</v>
      </c>
      <c r="F1574" s="265"/>
    </row>
    <row r="1576" spans="1:38" ht="21" customHeight="1">
      <c r="A1576" s="1" t="s">
        <v>1236</v>
      </c>
    </row>
    <row r="1577" spans="1:38">
      <c r="A1577" s="264" t="s">
        <v>217</v>
      </c>
    </row>
    <row r="1578" spans="1:38">
      <c r="A1578" s="269" t="s">
        <v>1212</v>
      </c>
    </row>
    <row r="1579" spans="1:38">
      <c r="A1579" s="264" t="s">
        <v>457</v>
      </c>
    </row>
    <row r="1581" spans="1:38">
      <c r="B1581" s="288" t="s">
        <v>22</v>
      </c>
      <c r="C1581" s="284" t="s">
        <v>195</v>
      </c>
      <c r="D1581" s="284" t="s">
        <v>196</v>
      </c>
      <c r="E1581" s="284" t="s">
        <v>197</v>
      </c>
      <c r="F1581" s="288" t="s">
        <v>23</v>
      </c>
      <c r="G1581" s="284" t="s">
        <v>195</v>
      </c>
      <c r="H1581" s="284" t="s">
        <v>196</v>
      </c>
      <c r="I1581" s="284" t="s">
        <v>197</v>
      </c>
      <c r="J1581" s="288" t="s">
        <v>24</v>
      </c>
      <c r="K1581" s="284" t="s">
        <v>195</v>
      </c>
      <c r="L1581" s="284" t="s">
        <v>196</v>
      </c>
      <c r="M1581" s="284" t="s">
        <v>197</v>
      </c>
      <c r="N1581" s="288" t="s">
        <v>25</v>
      </c>
      <c r="O1581" s="284" t="s">
        <v>195</v>
      </c>
      <c r="P1581" s="284" t="s">
        <v>196</v>
      </c>
      <c r="Q1581" s="284" t="s">
        <v>197</v>
      </c>
      <c r="R1581" s="288" t="s">
        <v>26</v>
      </c>
      <c r="S1581" s="284" t="s">
        <v>195</v>
      </c>
      <c r="T1581" s="284" t="s">
        <v>196</v>
      </c>
      <c r="U1581" s="284" t="s">
        <v>197</v>
      </c>
      <c r="V1581" s="288" t="s">
        <v>31</v>
      </c>
      <c r="W1581" s="284" t="s">
        <v>195</v>
      </c>
      <c r="X1581" s="284" t="s">
        <v>196</v>
      </c>
      <c r="Y1581" s="284" t="s">
        <v>197</v>
      </c>
      <c r="Z1581" s="288" t="s">
        <v>27</v>
      </c>
      <c r="AA1581" s="284" t="s">
        <v>195</v>
      </c>
      <c r="AB1581" s="284" t="s">
        <v>196</v>
      </c>
      <c r="AC1581" s="284" t="s">
        <v>197</v>
      </c>
      <c r="AD1581" s="288" t="s">
        <v>28</v>
      </c>
      <c r="AE1581" s="284" t="s">
        <v>195</v>
      </c>
      <c r="AF1581" s="284" t="s">
        <v>196</v>
      </c>
      <c r="AG1581" s="284" t="s">
        <v>197</v>
      </c>
      <c r="AH1581" s="288" t="s">
        <v>29</v>
      </c>
      <c r="AI1581" s="284" t="s">
        <v>195</v>
      </c>
      <c r="AJ1581" s="284" t="s">
        <v>196</v>
      </c>
      <c r="AK1581" s="284" t="s">
        <v>197</v>
      </c>
    </row>
    <row r="1582" spans="1:38">
      <c r="A1582" s="285" t="s">
        <v>458</v>
      </c>
      <c r="C1582" s="298">
        <f>C$1566</f>
        <v>1</v>
      </c>
      <c r="D1582" s="298">
        <f>D$1566</f>
        <v>0</v>
      </c>
      <c r="E1582" s="298">
        <f>E$1566</f>
        <v>0</v>
      </c>
      <c r="G1582" s="298">
        <f>C$1567</f>
        <v>0.84421935577541163</v>
      </c>
      <c r="H1582" s="298">
        <f>D$1567</f>
        <v>9.0147705546417989E-2</v>
      </c>
      <c r="I1582" s="298">
        <f>E$1567</f>
        <v>6.5632938678170466E-2</v>
      </c>
      <c r="K1582" s="298">
        <f>C$1568</f>
        <v>0.84421935577541163</v>
      </c>
      <c r="L1582" s="298">
        <f>D$1568</f>
        <v>9.0147705546417989E-2</v>
      </c>
      <c r="M1582" s="298">
        <f>E$1568</f>
        <v>6.5632938678170466E-2</v>
      </c>
      <c r="O1582" s="298">
        <f>C$1569</f>
        <v>0.60266573066353191</v>
      </c>
      <c r="P1582" s="298">
        <f>D$1569</f>
        <v>0.31015129614903031</v>
      </c>
      <c r="Q1582" s="298">
        <f>E$1569</f>
        <v>8.7182973187437854E-2</v>
      </c>
      <c r="S1582" s="298">
        <f>C$1570</f>
        <v>0.60266573066353191</v>
      </c>
      <c r="T1582" s="298">
        <f>D$1570</f>
        <v>0.31015129614903031</v>
      </c>
      <c r="U1582" s="298">
        <f>E$1570</f>
        <v>8.7182973187437854E-2</v>
      </c>
      <c r="W1582" s="298">
        <f>C$1571</f>
        <v>0.84421935577541163</v>
      </c>
      <c r="X1582" s="298">
        <f>D$1571</f>
        <v>9.0147705546417989E-2</v>
      </c>
      <c r="Y1582" s="298">
        <f>E$1571</f>
        <v>6.5632938678170466E-2</v>
      </c>
      <c r="AA1582" s="298">
        <f>C$1572</f>
        <v>0.60266573066353191</v>
      </c>
      <c r="AB1582" s="298">
        <f>D$1572</f>
        <v>0.31015129614903031</v>
      </c>
      <c r="AC1582" s="298">
        <f>E$1572</f>
        <v>8.7182973187437854E-2</v>
      </c>
      <c r="AE1582" s="298">
        <f>C$1573</f>
        <v>0.60266573066353191</v>
      </c>
      <c r="AF1582" s="298">
        <f>D$1573</f>
        <v>0.31015129614903031</v>
      </c>
      <c r="AG1582" s="298">
        <f>E$1573</f>
        <v>8.7182973187437854E-2</v>
      </c>
      <c r="AI1582" s="298">
        <f>C$1574</f>
        <v>0.60266573066353191</v>
      </c>
      <c r="AJ1582" s="298">
        <f>D$1574</f>
        <v>0.31015129614903031</v>
      </c>
      <c r="AK1582" s="298">
        <f>E$1574</f>
        <v>8.7182973187437854E-2</v>
      </c>
      <c r="AL1582" s="265"/>
    </row>
    <row r="1584" spans="1:38" ht="21" customHeight="1">
      <c r="A1584" s="1" t="s">
        <v>1235</v>
      </c>
    </row>
    <row r="1585" spans="1:38">
      <c r="A1585" s="264" t="s">
        <v>217</v>
      </c>
    </row>
    <row r="1586" spans="1:38">
      <c r="A1586" s="269" t="s">
        <v>459</v>
      </c>
    </row>
    <row r="1587" spans="1:38">
      <c r="A1587" s="269" t="s">
        <v>1234</v>
      </c>
    </row>
    <row r="1588" spans="1:38">
      <c r="A1588" s="269" t="s">
        <v>1233</v>
      </c>
    </row>
    <row r="1589" spans="1:38">
      <c r="A1589" s="269" t="s">
        <v>408</v>
      </c>
    </row>
    <row r="1590" spans="1:38">
      <c r="A1590" s="264" t="s">
        <v>460</v>
      </c>
    </row>
    <row r="1592" spans="1:38">
      <c r="B1592" s="288" t="s">
        <v>22</v>
      </c>
      <c r="C1592" s="284" t="s">
        <v>195</v>
      </c>
      <c r="D1592" s="284" t="s">
        <v>196</v>
      </c>
      <c r="E1592" s="284" t="s">
        <v>197</v>
      </c>
      <c r="F1592" s="288" t="s">
        <v>23</v>
      </c>
      <c r="G1592" s="284" t="s">
        <v>195</v>
      </c>
      <c r="H1592" s="284" t="s">
        <v>196</v>
      </c>
      <c r="I1592" s="284" t="s">
        <v>197</v>
      </c>
      <c r="J1592" s="288" t="s">
        <v>24</v>
      </c>
      <c r="K1592" s="284" t="s">
        <v>195</v>
      </c>
      <c r="L1592" s="284" t="s">
        <v>196</v>
      </c>
      <c r="M1592" s="284" t="s">
        <v>197</v>
      </c>
      <c r="N1592" s="288" t="s">
        <v>25</v>
      </c>
      <c r="O1592" s="284" t="s">
        <v>195</v>
      </c>
      <c r="P1592" s="284" t="s">
        <v>196</v>
      </c>
      <c r="Q1592" s="284" t="s">
        <v>197</v>
      </c>
      <c r="R1592" s="288" t="s">
        <v>26</v>
      </c>
      <c r="S1592" s="284" t="s">
        <v>195</v>
      </c>
      <c r="T1592" s="284" t="s">
        <v>196</v>
      </c>
      <c r="U1592" s="284" t="s">
        <v>197</v>
      </c>
      <c r="V1592" s="288" t="s">
        <v>31</v>
      </c>
      <c r="W1592" s="284" t="s">
        <v>195</v>
      </c>
      <c r="X1592" s="284" t="s">
        <v>196</v>
      </c>
      <c r="Y1592" s="284" t="s">
        <v>197</v>
      </c>
      <c r="Z1592" s="288" t="s">
        <v>27</v>
      </c>
      <c r="AA1592" s="284" t="s">
        <v>195</v>
      </c>
      <c r="AB1592" s="284" t="s">
        <v>196</v>
      </c>
      <c r="AC1592" s="284" t="s">
        <v>197</v>
      </c>
      <c r="AD1592" s="288" t="s">
        <v>28</v>
      </c>
      <c r="AE1592" s="284" t="s">
        <v>195</v>
      </c>
      <c r="AF1592" s="284" t="s">
        <v>196</v>
      </c>
      <c r="AG1592" s="284" t="s">
        <v>197</v>
      </c>
      <c r="AH1592" s="288" t="s">
        <v>29</v>
      </c>
      <c r="AI1592" s="284" t="s">
        <v>195</v>
      </c>
      <c r="AJ1592" s="284" t="s">
        <v>196</v>
      </c>
      <c r="AK1592" s="284" t="s">
        <v>197</v>
      </c>
    </row>
    <row r="1593" spans="1:38">
      <c r="A1593" s="285" t="s">
        <v>54</v>
      </c>
      <c r="C1593" s="273">
        <f t="shared" ref="C1593:E1608" si="86">IF(C$1314&gt;0,$C1534*C$1582*24*$F$14/C$1314,0)</f>
        <v>24.700696992773025</v>
      </c>
      <c r="D1593" s="273">
        <f t="shared" si="86"/>
        <v>0</v>
      </c>
      <c r="E1593" s="273">
        <f t="shared" si="86"/>
        <v>0</v>
      </c>
      <c r="G1593" s="273">
        <f t="shared" ref="G1593:I1608" si="87">IF(C$1314&gt;0,$C1534*G$1582*24*$F$14/C$1314,0)</f>
        <v>20.85280650244249</v>
      </c>
      <c r="H1593" s="273">
        <f t="shared" si="87"/>
        <v>0.33749803285493757</v>
      </c>
      <c r="I1593" s="273">
        <f t="shared" si="87"/>
        <v>0.17652390713394561</v>
      </c>
      <c r="K1593" s="273">
        <f t="shared" ref="K1593:M1608" si="88">IF(C$1314&gt;0,$C1534*K$1582*24*$F$14/C$1314,0)</f>
        <v>20.85280650244249</v>
      </c>
      <c r="L1593" s="273">
        <f t="shared" si="88"/>
        <v>0.33749803285493757</v>
      </c>
      <c r="M1593" s="273">
        <f t="shared" si="88"/>
        <v>0.17652390713394561</v>
      </c>
      <c r="O1593" s="273">
        <f t="shared" ref="O1593:Q1608" si="89">IF(C$1314&gt;0,$C1534*O$1582*24*$F$14/C$1314,0)</f>
        <v>14.886263601048059</v>
      </c>
      <c r="P1593" s="273">
        <f t="shared" si="89"/>
        <v>1.1611549257214142</v>
      </c>
      <c r="Q1593" s="273">
        <f t="shared" si="89"/>
        <v>0.23448407724152726</v>
      </c>
      <c r="S1593" s="273">
        <f t="shared" ref="S1593:U1608" si="90">IF(C$1314&gt;0,$C1534*S$1582*24*$F$14/C$1314,0)</f>
        <v>14.886263601048059</v>
      </c>
      <c r="T1593" s="273">
        <f t="shared" si="90"/>
        <v>1.1611549257214142</v>
      </c>
      <c r="U1593" s="273">
        <f t="shared" si="90"/>
        <v>0.23448407724152726</v>
      </c>
      <c r="W1593" s="273">
        <f t="shared" ref="W1593:Y1608" si="91">IF(C$1314&gt;0,$C1534*W$1582*24*$F$14/C$1314,0)</f>
        <v>20.85280650244249</v>
      </c>
      <c r="X1593" s="273">
        <f t="shared" si="91"/>
        <v>0.33749803285493757</v>
      </c>
      <c r="Y1593" s="273">
        <f t="shared" si="91"/>
        <v>0.17652390713394561</v>
      </c>
      <c r="AA1593" s="273">
        <f t="shared" ref="AA1593:AC1608" si="92">IF(C$1314&gt;0,$C1534*AA$1582*24*$F$14/C$1314,0)</f>
        <v>14.886263601048059</v>
      </c>
      <c r="AB1593" s="273">
        <f t="shared" si="92"/>
        <v>1.1611549257214142</v>
      </c>
      <c r="AC1593" s="273">
        <f t="shared" si="92"/>
        <v>0.23448407724152726</v>
      </c>
      <c r="AE1593" s="273">
        <f t="shared" ref="AE1593:AG1608" si="93">IF(C$1314&gt;0,$C1534*AE$1582*24*$F$14/C$1314,0)</f>
        <v>14.886263601048059</v>
      </c>
      <c r="AF1593" s="273">
        <f t="shared" si="93"/>
        <v>1.1611549257214142</v>
      </c>
      <c r="AG1593" s="273">
        <f t="shared" si="93"/>
        <v>0.23448407724152726</v>
      </c>
      <c r="AI1593" s="273">
        <f t="shared" ref="AI1593:AK1608" si="94">IF(C$1314&gt;0,$C1534*AI$1582*24*$F$14/C$1314,0)</f>
        <v>14.886263601048059</v>
      </c>
      <c r="AJ1593" s="273">
        <f t="shared" si="94"/>
        <v>1.1611549257214142</v>
      </c>
      <c r="AK1593" s="273">
        <f t="shared" si="94"/>
        <v>0.23448407724152726</v>
      </c>
      <c r="AL1593" s="265"/>
    </row>
    <row r="1594" spans="1:38">
      <c r="A1594" s="285" t="s">
        <v>55</v>
      </c>
      <c r="C1594" s="273">
        <f t="shared" si="86"/>
        <v>25.840127334720794</v>
      </c>
      <c r="D1594" s="273">
        <f t="shared" si="86"/>
        <v>0</v>
      </c>
      <c r="E1594" s="273">
        <f t="shared" si="86"/>
        <v>0</v>
      </c>
      <c r="G1594" s="273">
        <f t="shared" si="87"/>
        <v>21.814735651672596</v>
      </c>
      <c r="H1594" s="273">
        <f t="shared" si="87"/>
        <v>0.35306664207657673</v>
      </c>
      <c r="I1594" s="273">
        <f t="shared" si="87"/>
        <v>0.18466686342082431</v>
      </c>
      <c r="K1594" s="273">
        <f t="shared" si="88"/>
        <v>21.814735651672596</v>
      </c>
      <c r="L1594" s="273">
        <f t="shared" si="88"/>
        <v>0.35306664207657673</v>
      </c>
      <c r="M1594" s="273">
        <f t="shared" si="88"/>
        <v>0.18466686342082431</v>
      </c>
      <c r="O1594" s="273">
        <f t="shared" si="89"/>
        <v>15.572959220618213</v>
      </c>
      <c r="P1594" s="273">
        <f t="shared" si="89"/>
        <v>1.2147184002442664</v>
      </c>
      <c r="Q1594" s="273">
        <f t="shared" si="89"/>
        <v>0.24530070611604007</v>
      </c>
      <c r="S1594" s="273">
        <f t="shared" si="90"/>
        <v>15.572959220618213</v>
      </c>
      <c r="T1594" s="273">
        <f t="shared" si="90"/>
        <v>1.2147184002442664</v>
      </c>
      <c r="U1594" s="273">
        <f t="shared" si="90"/>
        <v>0.24530070611604007</v>
      </c>
      <c r="W1594" s="273">
        <f t="shared" si="91"/>
        <v>21.814735651672596</v>
      </c>
      <c r="X1594" s="273">
        <f t="shared" si="91"/>
        <v>0.35306664207657673</v>
      </c>
      <c r="Y1594" s="273">
        <f t="shared" si="91"/>
        <v>0.18466686342082431</v>
      </c>
      <c r="AA1594" s="273">
        <f t="shared" si="92"/>
        <v>15.572959220618213</v>
      </c>
      <c r="AB1594" s="273">
        <f t="shared" si="92"/>
        <v>1.2147184002442664</v>
      </c>
      <c r="AC1594" s="273">
        <f t="shared" si="92"/>
        <v>0.24530070611604007</v>
      </c>
      <c r="AE1594" s="273">
        <f t="shared" si="93"/>
        <v>15.572959220618213</v>
      </c>
      <c r="AF1594" s="273">
        <f t="shared" si="93"/>
        <v>1.2147184002442664</v>
      </c>
      <c r="AG1594" s="273">
        <f t="shared" si="93"/>
        <v>0.24530070611604007</v>
      </c>
      <c r="AI1594" s="273">
        <f t="shared" si="94"/>
        <v>15.572959220618213</v>
      </c>
      <c r="AJ1594" s="273">
        <f t="shared" si="94"/>
        <v>1.2147184002442664</v>
      </c>
      <c r="AK1594" s="273">
        <f t="shared" si="94"/>
        <v>0.24530070611604007</v>
      </c>
      <c r="AL1594" s="265"/>
    </row>
    <row r="1595" spans="1:38">
      <c r="A1595" s="285" t="s">
        <v>91</v>
      </c>
      <c r="C1595" s="273">
        <f t="shared" si="86"/>
        <v>16.7816091954023</v>
      </c>
      <c r="D1595" s="273">
        <f t="shared" si="86"/>
        <v>0</v>
      </c>
      <c r="E1595" s="273">
        <f t="shared" si="86"/>
        <v>0</v>
      </c>
      <c r="G1595" s="273">
        <f t="shared" si="87"/>
        <v>14.167359303817252</v>
      </c>
      <c r="H1595" s="273">
        <f t="shared" si="87"/>
        <v>0.22929555766162066</v>
      </c>
      <c r="I1595" s="273">
        <f t="shared" si="87"/>
        <v>0.11993002561968572</v>
      </c>
      <c r="K1595" s="273">
        <f t="shared" si="88"/>
        <v>14.167359303817252</v>
      </c>
      <c r="L1595" s="273">
        <f t="shared" si="88"/>
        <v>0.22929555766162066</v>
      </c>
      <c r="M1595" s="273">
        <f t="shared" si="88"/>
        <v>0.11993002561968572</v>
      </c>
      <c r="O1595" s="273">
        <f t="shared" si="89"/>
        <v>10.113700767456972</v>
      </c>
      <c r="P1595" s="273">
        <f t="shared" si="89"/>
        <v>0.78888657208638369</v>
      </c>
      <c r="Q1595" s="273">
        <f t="shared" si="89"/>
        <v>0.15930806114350346</v>
      </c>
      <c r="S1595" s="273">
        <f t="shared" si="90"/>
        <v>10.113700767456972</v>
      </c>
      <c r="T1595" s="273">
        <f t="shared" si="90"/>
        <v>0.78888657208638369</v>
      </c>
      <c r="U1595" s="273">
        <f t="shared" si="90"/>
        <v>0.15930806114350346</v>
      </c>
      <c r="W1595" s="273">
        <f t="shared" si="91"/>
        <v>14.167359303817252</v>
      </c>
      <c r="X1595" s="273">
        <f t="shared" si="91"/>
        <v>0.22929555766162066</v>
      </c>
      <c r="Y1595" s="273">
        <f t="shared" si="91"/>
        <v>0.11993002561968572</v>
      </c>
      <c r="AA1595" s="273">
        <f t="shared" si="92"/>
        <v>10.113700767456972</v>
      </c>
      <c r="AB1595" s="273">
        <f t="shared" si="92"/>
        <v>0.78888657208638369</v>
      </c>
      <c r="AC1595" s="273">
        <f t="shared" si="92"/>
        <v>0.15930806114350346</v>
      </c>
      <c r="AE1595" s="273">
        <f t="shared" si="93"/>
        <v>10.113700767456972</v>
      </c>
      <c r="AF1595" s="273">
        <f t="shared" si="93"/>
        <v>0.78888657208638369</v>
      </c>
      <c r="AG1595" s="273">
        <f t="shared" si="93"/>
        <v>0.15930806114350346</v>
      </c>
      <c r="AI1595" s="273">
        <f t="shared" si="94"/>
        <v>10.113700767456972</v>
      </c>
      <c r="AJ1595" s="273">
        <f t="shared" si="94"/>
        <v>0.78888657208638369</v>
      </c>
      <c r="AK1595" s="273">
        <f t="shared" si="94"/>
        <v>0.15930806114350346</v>
      </c>
      <c r="AL1595" s="265"/>
    </row>
    <row r="1596" spans="1:38">
      <c r="A1596" s="285" t="s">
        <v>56</v>
      </c>
      <c r="C1596" s="273">
        <f t="shared" si="86"/>
        <v>25.922636166029935</v>
      </c>
      <c r="D1596" s="273">
        <f t="shared" si="86"/>
        <v>0</v>
      </c>
      <c r="E1596" s="273">
        <f t="shared" si="86"/>
        <v>0</v>
      </c>
      <c r="G1596" s="273">
        <f t="shared" si="87"/>
        <v>21.884391204086178</v>
      </c>
      <c r="H1596" s="273">
        <f t="shared" si="87"/>
        <v>0.35419400169190024</v>
      </c>
      <c r="I1596" s="273">
        <f t="shared" si="87"/>
        <v>0.18525651403999541</v>
      </c>
      <c r="K1596" s="273">
        <f t="shared" si="88"/>
        <v>21.884391204086178</v>
      </c>
      <c r="L1596" s="273">
        <f t="shared" si="88"/>
        <v>0.35419400169190024</v>
      </c>
      <c r="M1596" s="273">
        <f t="shared" si="88"/>
        <v>0.18525651403999541</v>
      </c>
      <c r="O1596" s="273">
        <f t="shared" si="89"/>
        <v>15.622684465725328</v>
      </c>
      <c r="P1596" s="273">
        <f t="shared" si="89"/>
        <v>1.2185970574302623</v>
      </c>
      <c r="Q1596" s="273">
        <f t="shared" si="89"/>
        <v>0.24608396365648361</v>
      </c>
      <c r="S1596" s="273">
        <f t="shared" si="90"/>
        <v>15.622684465725328</v>
      </c>
      <c r="T1596" s="273">
        <f t="shared" si="90"/>
        <v>1.2185970574302623</v>
      </c>
      <c r="U1596" s="273">
        <f t="shared" si="90"/>
        <v>0.24608396365648361</v>
      </c>
      <c r="W1596" s="273">
        <f t="shared" si="91"/>
        <v>21.884391204086178</v>
      </c>
      <c r="X1596" s="273">
        <f t="shared" si="91"/>
        <v>0.35419400169190024</v>
      </c>
      <c r="Y1596" s="273">
        <f t="shared" si="91"/>
        <v>0.18525651403999541</v>
      </c>
      <c r="AA1596" s="273">
        <f t="shared" si="92"/>
        <v>15.622684465725328</v>
      </c>
      <c r="AB1596" s="273">
        <f t="shared" si="92"/>
        <v>1.2185970574302623</v>
      </c>
      <c r="AC1596" s="273">
        <f t="shared" si="92"/>
        <v>0.24608396365648361</v>
      </c>
      <c r="AE1596" s="273">
        <f t="shared" si="93"/>
        <v>15.622684465725328</v>
      </c>
      <c r="AF1596" s="273">
        <f t="shared" si="93"/>
        <v>1.2185970574302623</v>
      </c>
      <c r="AG1596" s="273">
        <f t="shared" si="93"/>
        <v>0.24608396365648361</v>
      </c>
      <c r="AI1596" s="273">
        <f t="shared" si="94"/>
        <v>15.622684465725328</v>
      </c>
      <c r="AJ1596" s="273">
        <f t="shared" si="94"/>
        <v>1.2185970574302623</v>
      </c>
      <c r="AK1596" s="273">
        <f t="shared" si="94"/>
        <v>0.24608396365648361</v>
      </c>
      <c r="AL1596" s="265"/>
    </row>
    <row r="1597" spans="1:38">
      <c r="A1597" s="285" t="s">
        <v>57</v>
      </c>
      <c r="C1597" s="273">
        <f t="shared" si="86"/>
        <v>24.769303792945756</v>
      </c>
      <c r="D1597" s="273">
        <f t="shared" si="86"/>
        <v>0</v>
      </c>
      <c r="E1597" s="273">
        <f t="shared" si="86"/>
        <v>0</v>
      </c>
      <c r="G1597" s="273">
        <f t="shared" si="87"/>
        <v>20.910725691086125</v>
      </c>
      <c r="H1597" s="273">
        <f t="shared" si="87"/>
        <v>0.33843544203434422</v>
      </c>
      <c r="I1597" s="273">
        <f t="shared" si="87"/>
        <v>0.17701420667593792</v>
      </c>
      <c r="K1597" s="273">
        <f t="shared" si="88"/>
        <v>20.910725691086125</v>
      </c>
      <c r="L1597" s="273">
        <f t="shared" si="88"/>
        <v>0.33843544203434422</v>
      </c>
      <c r="M1597" s="273">
        <f t="shared" si="88"/>
        <v>0.17701420667593792</v>
      </c>
      <c r="O1597" s="273">
        <f t="shared" si="89"/>
        <v>14.927610568402645</v>
      </c>
      <c r="P1597" s="273">
        <f t="shared" si="89"/>
        <v>1.1643800624040699</v>
      </c>
      <c r="Q1597" s="273">
        <f t="shared" si="89"/>
        <v>0.23513536259739007</v>
      </c>
      <c r="S1597" s="273">
        <f t="shared" si="90"/>
        <v>14.927610568402645</v>
      </c>
      <c r="T1597" s="273">
        <f t="shared" si="90"/>
        <v>1.1643800624040699</v>
      </c>
      <c r="U1597" s="273">
        <f t="shared" si="90"/>
        <v>0.23513536259739007</v>
      </c>
      <c r="W1597" s="273">
        <f t="shared" si="91"/>
        <v>20.910725691086125</v>
      </c>
      <c r="X1597" s="273">
        <f t="shared" si="91"/>
        <v>0.33843544203434422</v>
      </c>
      <c r="Y1597" s="273">
        <f t="shared" si="91"/>
        <v>0.17701420667593792</v>
      </c>
      <c r="AA1597" s="273">
        <f t="shared" si="92"/>
        <v>14.927610568402645</v>
      </c>
      <c r="AB1597" s="273">
        <f t="shared" si="92"/>
        <v>1.1643800624040699</v>
      </c>
      <c r="AC1597" s="273">
        <f t="shared" si="92"/>
        <v>0.23513536259739007</v>
      </c>
      <c r="AE1597" s="273">
        <f t="shared" si="93"/>
        <v>14.927610568402645</v>
      </c>
      <c r="AF1597" s="273">
        <f t="shared" si="93"/>
        <v>1.1643800624040699</v>
      </c>
      <c r="AG1597" s="273">
        <f t="shared" si="93"/>
        <v>0.23513536259739007</v>
      </c>
      <c r="AI1597" s="273">
        <f t="shared" si="94"/>
        <v>14.927610568402645</v>
      </c>
      <c r="AJ1597" s="273">
        <f t="shared" si="94"/>
        <v>1.1643800624040699</v>
      </c>
      <c r="AK1597" s="273">
        <f t="shared" si="94"/>
        <v>0.23513536259739007</v>
      </c>
      <c r="AL1597" s="265"/>
    </row>
    <row r="1598" spans="1:38">
      <c r="A1598" s="285" t="s">
        <v>92</v>
      </c>
      <c r="C1598" s="273">
        <f t="shared" si="86"/>
        <v>16.7816091954023</v>
      </c>
      <c r="D1598" s="273">
        <f t="shared" si="86"/>
        <v>0</v>
      </c>
      <c r="E1598" s="273">
        <f t="shared" si="86"/>
        <v>0</v>
      </c>
      <c r="G1598" s="273">
        <f t="shared" si="87"/>
        <v>14.167359303817252</v>
      </c>
      <c r="H1598" s="273">
        <f t="shared" si="87"/>
        <v>0.22929555766162066</v>
      </c>
      <c r="I1598" s="273">
        <f t="shared" si="87"/>
        <v>0.11993002561968572</v>
      </c>
      <c r="K1598" s="273">
        <f t="shared" si="88"/>
        <v>14.167359303817252</v>
      </c>
      <c r="L1598" s="273">
        <f t="shared" si="88"/>
        <v>0.22929555766162066</v>
      </c>
      <c r="M1598" s="273">
        <f t="shared" si="88"/>
        <v>0.11993002561968572</v>
      </c>
      <c r="O1598" s="273">
        <f t="shared" si="89"/>
        <v>10.113700767456972</v>
      </c>
      <c r="P1598" s="273">
        <f t="shared" si="89"/>
        <v>0.78888657208638369</v>
      </c>
      <c r="Q1598" s="273">
        <f t="shared" si="89"/>
        <v>0.15930806114350346</v>
      </c>
      <c r="S1598" s="273">
        <f t="shared" si="90"/>
        <v>10.113700767456972</v>
      </c>
      <c r="T1598" s="273">
        <f t="shared" si="90"/>
        <v>0.78888657208638369</v>
      </c>
      <c r="U1598" s="273">
        <f t="shared" si="90"/>
        <v>0.15930806114350346</v>
      </c>
      <c r="W1598" s="273">
        <f t="shared" si="91"/>
        <v>14.167359303817252</v>
      </c>
      <c r="X1598" s="273">
        <f t="shared" si="91"/>
        <v>0.22929555766162066</v>
      </c>
      <c r="Y1598" s="273">
        <f t="shared" si="91"/>
        <v>0.11993002561968572</v>
      </c>
      <c r="AA1598" s="273">
        <f t="shared" si="92"/>
        <v>10.113700767456972</v>
      </c>
      <c r="AB1598" s="273">
        <f t="shared" si="92"/>
        <v>0.78888657208638369</v>
      </c>
      <c r="AC1598" s="273">
        <f t="shared" si="92"/>
        <v>0.15930806114350346</v>
      </c>
      <c r="AE1598" s="273">
        <f t="shared" si="93"/>
        <v>10.113700767456972</v>
      </c>
      <c r="AF1598" s="273">
        <f t="shared" si="93"/>
        <v>0.78888657208638369</v>
      </c>
      <c r="AG1598" s="273">
        <f t="shared" si="93"/>
        <v>0.15930806114350346</v>
      </c>
      <c r="AI1598" s="273">
        <f t="shared" si="94"/>
        <v>10.113700767456972</v>
      </c>
      <c r="AJ1598" s="273">
        <f t="shared" si="94"/>
        <v>0.78888657208638369</v>
      </c>
      <c r="AK1598" s="273">
        <f t="shared" si="94"/>
        <v>0.15930806114350346</v>
      </c>
      <c r="AL1598" s="265"/>
    </row>
    <row r="1599" spans="1:38">
      <c r="A1599" s="285" t="s">
        <v>58</v>
      </c>
      <c r="C1599" s="273">
        <f t="shared" si="86"/>
        <v>21.753862006848824</v>
      </c>
      <c r="D1599" s="273">
        <f t="shared" si="86"/>
        <v>0</v>
      </c>
      <c r="E1599" s="273">
        <f t="shared" si="86"/>
        <v>0</v>
      </c>
      <c r="G1599" s="273">
        <f t="shared" si="87"/>
        <v>18.36503136904912</v>
      </c>
      <c r="H1599" s="273">
        <f t="shared" si="87"/>
        <v>0.29723394592700547</v>
      </c>
      <c r="I1599" s="273">
        <f t="shared" si="87"/>
        <v>0.15546430604064271</v>
      </c>
      <c r="K1599" s="273">
        <f t="shared" si="88"/>
        <v>18.36503136904912</v>
      </c>
      <c r="L1599" s="273">
        <f t="shared" si="88"/>
        <v>0.29723394592700547</v>
      </c>
      <c r="M1599" s="273">
        <f t="shared" si="88"/>
        <v>0.15546430604064271</v>
      </c>
      <c r="O1599" s="273">
        <f t="shared" si="89"/>
        <v>13.110307141111194</v>
      </c>
      <c r="P1599" s="273">
        <f t="shared" si="89"/>
        <v>1.0226271764763133</v>
      </c>
      <c r="Q1599" s="273">
        <f t="shared" si="89"/>
        <v>0.20650972968932438</v>
      </c>
      <c r="S1599" s="273">
        <f t="shared" si="90"/>
        <v>13.110307141111194</v>
      </c>
      <c r="T1599" s="273">
        <f t="shared" si="90"/>
        <v>1.0226271764763133</v>
      </c>
      <c r="U1599" s="273">
        <f t="shared" si="90"/>
        <v>0.20650972968932438</v>
      </c>
      <c r="W1599" s="273">
        <f t="shared" si="91"/>
        <v>18.36503136904912</v>
      </c>
      <c r="X1599" s="273">
        <f t="shared" si="91"/>
        <v>0.29723394592700547</v>
      </c>
      <c r="Y1599" s="273">
        <f t="shared" si="91"/>
        <v>0.15546430604064271</v>
      </c>
      <c r="AA1599" s="273">
        <f t="shared" si="92"/>
        <v>13.110307141111194</v>
      </c>
      <c r="AB1599" s="273">
        <f t="shared" si="92"/>
        <v>1.0226271764763133</v>
      </c>
      <c r="AC1599" s="273">
        <f t="shared" si="92"/>
        <v>0.20650972968932438</v>
      </c>
      <c r="AE1599" s="273">
        <f t="shared" si="93"/>
        <v>13.110307141111194</v>
      </c>
      <c r="AF1599" s="273">
        <f t="shared" si="93"/>
        <v>1.0226271764763133</v>
      </c>
      <c r="AG1599" s="273">
        <f t="shared" si="93"/>
        <v>0.20650972968932438</v>
      </c>
      <c r="AI1599" s="273">
        <f t="shared" si="94"/>
        <v>13.110307141111194</v>
      </c>
      <c r="AJ1599" s="273">
        <f t="shared" si="94"/>
        <v>1.0226271764763133</v>
      </c>
      <c r="AK1599" s="273">
        <f t="shared" si="94"/>
        <v>0.20650972968932438</v>
      </c>
      <c r="AL1599" s="265"/>
    </row>
    <row r="1600" spans="1:38">
      <c r="A1600" s="285" t="s">
        <v>59</v>
      </c>
      <c r="C1600" s="273">
        <f t="shared" si="86"/>
        <v>21.816545139253186</v>
      </c>
      <c r="D1600" s="273">
        <f t="shared" si="86"/>
        <v>0</v>
      </c>
      <c r="E1600" s="273">
        <f t="shared" si="86"/>
        <v>0</v>
      </c>
      <c r="G1600" s="273">
        <f t="shared" si="87"/>
        <v>18.417949682705512</v>
      </c>
      <c r="H1600" s="273">
        <f t="shared" si="87"/>
        <v>0.29809041705759121</v>
      </c>
      <c r="I1600" s="273">
        <f t="shared" si="87"/>
        <v>0.1559122720007389</v>
      </c>
      <c r="K1600" s="273">
        <f t="shared" si="88"/>
        <v>18.417949682705512</v>
      </c>
      <c r="L1600" s="273">
        <f t="shared" si="88"/>
        <v>0.29809041705759121</v>
      </c>
      <c r="M1600" s="273">
        <f t="shared" si="88"/>
        <v>0.1559122720007389</v>
      </c>
      <c r="O1600" s="273">
        <f t="shared" si="89"/>
        <v>13.148084116901948</v>
      </c>
      <c r="P1600" s="273">
        <f t="shared" si="89"/>
        <v>1.0255738474942311</v>
      </c>
      <c r="Q1600" s="273">
        <f t="shared" si="89"/>
        <v>0.20710478158056236</v>
      </c>
      <c r="S1600" s="273">
        <f t="shared" si="90"/>
        <v>13.148084116901948</v>
      </c>
      <c r="T1600" s="273">
        <f t="shared" si="90"/>
        <v>1.0255738474942311</v>
      </c>
      <c r="U1600" s="273">
        <f t="shared" si="90"/>
        <v>0.20710478158056236</v>
      </c>
      <c r="W1600" s="273">
        <f t="shared" si="91"/>
        <v>18.417949682705512</v>
      </c>
      <c r="X1600" s="273">
        <f t="shared" si="91"/>
        <v>0.29809041705759121</v>
      </c>
      <c r="Y1600" s="273">
        <f t="shared" si="91"/>
        <v>0.1559122720007389</v>
      </c>
      <c r="AA1600" s="273">
        <f t="shared" si="92"/>
        <v>13.148084116901948</v>
      </c>
      <c r="AB1600" s="273">
        <f t="shared" si="92"/>
        <v>1.0255738474942311</v>
      </c>
      <c r="AC1600" s="273">
        <f t="shared" si="92"/>
        <v>0.20710478158056236</v>
      </c>
      <c r="AE1600" s="273">
        <f t="shared" si="93"/>
        <v>13.148084116901948</v>
      </c>
      <c r="AF1600" s="273">
        <f t="shared" si="93"/>
        <v>1.0255738474942311</v>
      </c>
      <c r="AG1600" s="273">
        <f t="shared" si="93"/>
        <v>0.20710478158056236</v>
      </c>
      <c r="AI1600" s="273">
        <f t="shared" si="94"/>
        <v>13.148084116901948</v>
      </c>
      <c r="AJ1600" s="273">
        <f t="shared" si="94"/>
        <v>1.0255738474942311</v>
      </c>
      <c r="AK1600" s="273">
        <f t="shared" si="94"/>
        <v>0.20710478158056236</v>
      </c>
      <c r="AL1600" s="265"/>
    </row>
    <row r="1601" spans="1:38">
      <c r="A1601" s="285" t="s">
        <v>72</v>
      </c>
      <c r="C1601" s="273">
        <f t="shared" si="86"/>
        <v>22.780931525330963</v>
      </c>
      <c r="D1601" s="273">
        <f t="shared" si="86"/>
        <v>0</v>
      </c>
      <c r="E1601" s="273">
        <f t="shared" si="86"/>
        <v>0</v>
      </c>
      <c r="G1601" s="273">
        <f t="shared" si="87"/>
        <v>19.232103336278669</v>
      </c>
      <c r="H1601" s="273">
        <f t="shared" si="87"/>
        <v>0.31126731276658925</v>
      </c>
      <c r="I1601" s="273">
        <f t="shared" si="87"/>
        <v>0.16280427399189901</v>
      </c>
      <c r="K1601" s="273">
        <f t="shared" si="88"/>
        <v>19.232103336278669</v>
      </c>
      <c r="L1601" s="273">
        <f t="shared" si="88"/>
        <v>0.31126731276658925</v>
      </c>
      <c r="M1601" s="273">
        <f t="shared" si="88"/>
        <v>0.16280427399189901</v>
      </c>
      <c r="O1601" s="273">
        <f t="shared" si="89"/>
        <v>13.729286742909471</v>
      </c>
      <c r="P1601" s="273">
        <f t="shared" si="89"/>
        <v>1.0709086816821294</v>
      </c>
      <c r="Q1601" s="273">
        <f t="shared" si="89"/>
        <v>0.21625971562594173</v>
      </c>
      <c r="S1601" s="273">
        <f t="shared" si="90"/>
        <v>13.729286742909471</v>
      </c>
      <c r="T1601" s="273">
        <f t="shared" si="90"/>
        <v>1.0709086816821294</v>
      </c>
      <c r="U1601" s="273">
        <f t="shared" si="90"/>
        <v>0.21625971562594173</v>
      </c>
      <c r="W1601" s="273">
        <f t="shared" si="91"/>
        <v>19.232103336278669</v>
      </c>
      <c r="X1601" s="273">
        <f t="shared" si="91"/>
        <v>0.31126731276658925</v>
      </c>
      <c r="Y1601" s="273">
        <f t="shared" si="91"/>
        <v>0.16280427399189901</v>
      </c>
      <c r="AA1601" s="273">
        <f t="shared" si="92"/>
        <v>13.729286742909471</v>
      </c>
      <c r="AB1601" s="273">
        <f t="shared" si="92"/>
        <v>1.0709086816821294</v>
      </c>
      <c r="AC1601" s="273">
        <f t="shared" si="92"/>
        <v>0.21625971562594173</v>
      </c>
      <c r="AE1601" s="273">
        <f t="shared" si="93"/>
        <v>13.729286742909471</v>
      </c>
      <c r="AF1601" s="273">
        <f t="shared" si="93"/>
        <v>1.0709086816821294</v>
      </c>
      <c r="AG1601" s="273">
        <f t="shared" si="93"/>
        <v>0.21625971562594173</v>
      </c>
      <c r="AI1601" s="273">
        <f t="shared" si="94"/>
        <v>13.729286742909471</v>
      </c>
      <c r="AJ1601" s="273">
        <f t="shared" si="94"/>
        <v>1.0709086816821294</v>
      </c>
      <c r="AK1601" s="273">
        <f t="shared" si="94"/>
        <v>0.21625971562594173</v>
      </c>
      <c r="AL1601" s="265"/>
    </row>
    <row r="1602" spans="1:38">
      <c r="A1602" s="285" t="s">
        <v>1178</v>
      </c>
      <c r="C1602" s="273">
        <f t="shared" si="86"/>
        <v>12.58315045032916</v>
      </c>
      <c r="D1602" s="273">
        <f t="shared" si="86"/>
        <v>0</v>
      </c>
      <c r="E1602" s="273">
        <f t="shared" si="86"/>
        <v>0</v>
      </c>
      <c r="G1602" s="273">
        <f t="shared" si="87"/>
        <v>10.622939166801963</v>
      </c>
      <c r="H1602" s="273">
        <f t="shared" si="87"/>
        <v>0.17192990648589174</v>
      </c>
      <c r="I1602" s="273">
        <f t="shared" si="87"/>
        <v>8.9925676275299474E-2</v>
      </c>
      <c r="K1602" s="273">
        <f t="shared" si="88"/>
        <v>10.622939166801963</v>
      </c>
      <c r="L1602" s="273">
        <f t="shared" si="88"/>
        <v>0.17192990648589174</v>
      </c>
      <c r="M1602" s="273">
        <f t="shared" si="88"/>
        <v>8.9925676275299474E-2</v>
      </c>
      <c r="O1602" s="273">
        <f t="shared" si="89"/>
        <v>7.5834335601967746</v>
      </c>
      <c r="P1602" s="273">
        <f t="shared" si="89"/>
        <v>0.59152124860153721</v>
      </c>
      <c r="Q1602" s="273">
        <f t="shared" si="89"/>
        <v>0.11945203096900538</v>
      </c>
      <c r="S1602" s="273">
        <f t="shared" si="90"/>
        <v>7.5834335601967746</v>
      </c>
      <c r="T1602" s="273">
        <f t="shared" si="90"/>
        <v>0.59152124860153721</v>
      </c>
      <c r="U1602" s="273">
        <f t="shared" si="90"/>
        <v>0.11945203096900538</v>
      </c>
      <c r="W1602" s="273">
        <f t="shared" si="91"/>
        <v>10.622939166801963</v>
      </c>
      <c r="X1602" s="273">
        <f t="shared" si="91"/>
        <v>0.17192990648589174</v>
      </c>
      <c r="Y1602" s="273">
        <f t="shared" si="91"/>
        <v>8.9925676275299474E-2</v>
      </c>
      <c r="AA1602" s="273">
        <f t="shared" si="92"/>
        <v>7.5834335601967746</v>
      </c>
      <c r="AB1602" s="273">
        <f t="shared" si="92"/>
        <v>0.59152124860153721</v>
      </c>
      <c r="AC1602" s="273">
        <f t="shared" si="92"/>
        <v>0.11945203096900538</v>
      </c>
      <c r="AE1602" s="273">
        <f t="shared" si="93"/>
        <v>7.5834335601967746</v>
      </c>
      <c r="AF1602" s="273">
        <f t="shared" si="93"/>
        <v>0.59152124860153721</v>
      </c>
      <c r="AG1602" s="273">
        <f t="shared" si="93"/>
        <v>0.11945203096900538</v>
      </c>
      <c r="AI1602" s="273">
        <f t="shared" si="94"/>
        <v>7.5834335601967746</v>
      </c>
      <c r="AJ1602" s="273">
        <f t="shared" si="94"/>
        <v>0.59152124860153721</v>
      </c>
      <c r="AK1602" s="273">
        <f t="shared" si="94"/>
        <v>0.11945203096900538</v>
      </c>
      <c r="AL1602" s="265"/>
    </row>
    <row r="1603" spans="1:38">
      <c r="A1603" s="285" t="s">
        <v>1177</v>
      </c>
      <c r="C1603" s="273">
        <f t="shared" si="86"/>
        <v>24.535124028294963</v>
      </c>
      <c r="D1603" s="273">
        <f t="shared" si="86"/>
        <v>0</v>
      </c>
      <c r="E1603" s="273">
        <f t="shared" si="86"/>
        <v>0</v>
      </c>
      <c r="G1603" s="273">
        <f t="shared" si="87"/>
        <v>20.713026601036994</v>
      </c>
      <c r="H1603" s="273">
        <f t="shared" si="87"/>
        <v>0.33523572625599196</v>
      </c>
      <c r="I1603" s="273">
        <f t="shared" si="87"/>
        <v>0.17534063742240794</v>
      </c>
      <c r="K1603" s="273">
        <f t="shared" si="88"/>
        <v>20.713026601036994</v>
      </c>
      <c r="L1603" s="273">
        <f t="shared" si="88"/>
        <v>0.33523572625599196</v>
      </c>
      <c r="M1603" s="273">
        <f t="shared" si="88"/>
        <v>0.17534063742240794</v>
      </c>
      <c r="O1603" s="273">
        <f t="shared" si="89"/>
        <v>14.78647844943276</v>
      </c>
      <c r="P1603" s="273">
        <f t="shared" si="89"/>
        <v>1.1533715071674258</v>
      </c>
      <c r="Q1603" s="273">
        <f t="shared" si="89"/>
        <v>0.23291229067197655</v>
      </c>
      <c r="S1603" s="273">
        <f t="shared" si="90"/>
        <v>14.78647844943276</v>
      </c>
      <c r="T1603" s="273">
        <f t="shared" si="90"/>
        <v>1.1533715071674258</v>
      </c>
      <c r="U1603" s="273">
        <f t="shared" si="90"/>
        <v>0.23291229067197655</v>
      </c>
      <c r="W1603" s="273">
        <f t="shared" si="91"/>
        <v>20.713026601036994</v>
      </c>
      <c r="X1603" s="273">
        <f t="shared" si="91"/>
        <v>0.33523572625599196</v>
      </c>
      <c r="Y1603" s="273">
        <f t="shared" si="91"/>
        <v>0.17534063742240794</v>
      </c>
      <c r="AA1603" s="273">
        <f t="shared" si="92"/>
        <v>14.78647844943276</v>
      </c>
      <c r="AB1603" s="273">
        <f t="shared" si="92"/>
        <v>1.1533715071674258</v>
      </c>
      <c r="AC1603" s="273">
        <f t="shared" si="92"/>
        <v>0.23291229067197655</v>
      </c>
      <c r="AE1603" s="273">
        <f t="shared" si="93"/>
        <v>14.78647844943276</v>
      </c>
      <c r="AF1603" s="273">
        <f t="shared" si="93"/>
        <v>1.1533715071674258</v>
      </c>
      <c r="AG1603" s="273">
        <f t="shared" si="93"/>
        <v>0.23291229067197655</v>
      </c>
      <c r="AI1603" s="273">
        <f t="shared" si="94"/>
        <v>14.78647844943276</v>
      </c>
      <c r="AJ1603" s="273">
        <f t="shared" si="94"/>
        <v>1.1533715071674258</v>
      </c>
      <c r="AK1603" s="273">
        <f t="shared" si="94"/>
        <v>0.23291229067197655</v>
      </c>
      <c r="AL1603" s="265"/>
    </row>
    <row r="1604" spans="1:38">
      <c r="A1604" s="285" t="s">
        <v>60</v>
      </c>
      <c r="C1604" s="273">
        <f t="shared" si="86"/>
        <v>20.014136550733021</v>
      </c>
      <c r="D1604" s="273">
        <f t="shared" si="86"/>
        <v>0</v>
      </c>
      <c r="E1604" s="273">
        <f t="shared" si="86"/>
        <v>0</v>
      </c>
      <c r="G1604" s="273">
        <f t="shared" si="87"/>
        <v>16.89632146526095</v>
      </c>
      <c r="H1604" s="273">
        <f t="shared" si="87"/>
        <v>0.27346320296705845</v>
      </c>
      <c r="I1604" s="273">
        <f t="shared" si="87"/>
        <v>0.14303133158069933</v>
      </c>
      <c r="K1604" s="273">
        <f t="shared" si="88"/>
        <v>16.89632146526095</v>
      </c>
      <c r="L1604" s="273">
        <f t="shared" si="88"/>
        <v>0.27346320296705845</v>
      </c>
      <c r="M1604" s="273">
        <f t="shared" si="88"/>
        <v>0.14303133158069933</v>
      </c>
      <c r="O1604" s="273">
        <f t="shared" si="89"/>
        <v>12.061834227947216</v>
      </c>
      <c r="P1604" s="273">
        <f t="shared" si="89"/>
        <v>0.94084443231476822</v>
      </c>
      <c r="Q1604" s="273">
        <f t="shared" si="89"/>
        <v>0.18999449053027295</v>
      </c>
      <c r="S1604" s="273">
        <f t="shared" si="90"/>
        <v>12.061834227947216</v>
      </c>
      <c r="T1604" s="273">
        <f t="shared" si="90"/>
        <v>0.94084443231476822</v>
      </c>
      <c r="U1604" s="273">
        <f t="shared" si="90"/>
        <v>0.18999449053027295</v>
      </c>
      <c r="W1604" s="273">
        <f t="shared" si="91"/>
        <v>16.89632146526095</v>
      </c>
      <c r="X1604" s="273">
        <f t="shared" si="91"/>
        <v>0.27346320296705845</v>
      </c>
      <c r="Y1604" s="273">
        <f t="shared" si="91"/>
        <v>0.14303133158069933</v>
      </c>
      <c r="AA1604" s="273">
        <f t="shared" si="92"/>
        <v>12.061834227947216</v>
      </c>
      <c r="AB1604" s="273">
        <f t="shared" si="92"/>
        <v>0.94084443231476822</v>
      </c>
      <c r="AC1604" s="273">
        <f t="shared" si="92"/>
        <v>0.18999449053027295</v>
      </c>
      <c r="AE1604" s="273">
        <f t="shared" si="93"/>
        <v>12.061834227947216</v>
      </c>
      <c r="AF1604" s="273">
        <f t="shared" si="93"/>
        <v>0.94084443231476822</v>
      </c>
      <c r="AG1604" s="273">
        <f t="shared" si="93"/>
        <v>0.18999449053027295</v>
      </c>
      <c r="AI1604" s="273">
        <f t="shared" si="94"/>
        <v>12.061834227947216</v>
      </c>
      <c r="AJ1604" s="273">
        <f t="shared" si="94"/>
        <v>0.94084443231476822</v>
      </c>
      <c r="AK1604" s="273">
        <f t="shared" si="94"/>
        <v>0.18999449053027295</v>
      </c>
      <c r="AL1604" s="265"/>
    </row>
    <row r="1605" spans="1:38">
      <c r="A1605" s="285" t="s">
        <v>61</v>
      </c>
      <c r="C1605" s="273">
        <f t="shared" si="86"/>
        <v>19.088664804564541</v>
      </c>
      <c r="D1605" s="273">
        <f t="shared" si="86"/>
        <v>0</v>
      </c>
      <c r="E1605" s="273">
        <f t="shared" si="86"/>
        <v>0</v>
      </c>
      <c r="G1605" s="273">
        <f t="shared" si="87"/>
        <v>16.11502030392225</v>
      </c>
      <c r="H1605" s="273">
        <f t="shared" si="87"/>
        <v>0.26081801753419093</v>
      </c>
      <c r="I1605" s="273">
        <f t="shared" si="87"/>
        <v>0.1364174336561374</v>
      </c>
      <c r="K1605" s="273">
        <f t="shared" si="88"/>
        <v>16.11502030392225</v>
      </c>
      <c r="L1605" s="273">
        <f t="shared" si="88"/>
        <v>0.26081801753419093</v>
      </c>
      <c r="M1605" s="273">
        <f t="shared" si="88"/>
        <v>0.1364174336561374</v>
      </c>
      <c r="O1605" s="273">
        <f t="shared" si="89"/>
        <v>11.504084121834133</v>
      </c>
      <c r="P1605" s="273">
        <f t="shared" si="89"/>
        <v>0.89733893621504512</v>
      </c>
      <c r="Q1605" s="273">
        <f t="shared" si="89"/>
        <v>0.18120897372979911</v>
      </c>
      <c r="S1605" s="273">
        <f t="shared" si="90"/>
        <v>11.504084121834133</v>
      </c>
      <c r="T1605" s="273">
        <f t="shared" si="90"/>
        <v>0.89733893621504512</v>
      </c>
      <c r="U1605" s="273">
        <f t="shared" si="90"/>
        <v>0.18120897372979911</v>
      </c>
      <c r="W1605" s="273">
        <f t="shared" si="91"/>
        <v>16.11502030392225</v>
      </c>
      <c r="X1605" s="273">
        <f t="shared" si="91"/>
        <v>0.26081801753419093</v>
      </c>
      <c r="Y1605" s="273">
        <f t="shared" si="91"/>
        <v>0.1364174336561374</v>
      </c>
      <c r="AA1605" s="273">
        <f t="shared" si="92"/>
        <v>11.504084121834133</v>
      </c>
      <c r="AB1605" s="273">
        <f t="shared" si="92"/>
        <v>0.89733893621504512</v>
      </c>
      <c r="AC1605" s="273">
        <f t="shared" si="92"/>
        <v>0.18120897372979911</v>
      </c>
      <c r="AE1605" s="273">
        <f t="shared" si="93"/>
        <v>11.504084121834133</v>
      </c>
      <c r="AF1605" s="273">
        <f t="shared" si="93"/>
        <v>0.89733893621504512</v>
      </c>
      <c r="AG1605" s="273">
        <f t="shared" si="93"/>
        <v>0.18120897372979911</v>
      </c>
      <c r="AI1605" s="273">
        <f t="shared" si="94"/>
        <v>11.504084121834133</v>
      </c>
      <c r="AJ1605" s="273">
        <f t="shared" si="94"/>
        <v>0.89733893621504512</v>
      </c>
      <c r="AK1605" s="273">
        <f t="shared" si="94"/>
        <v>0.18120897372979911</v>
      </c>
      <c r="AL1605" s="265"/>
    </row>
    <row r="1606" spans="1:38">
      <c r="A1606" s="285" t="s">
        <v>73</v>
      </c>
      <c r="C1606" s="273">
        <f t="shared" si="86"/>
        <v>17.53867433216071</v>
      </c>
      <c r="D1606" s="273">
        <f t="shared" si="86"/>
        <v>0</v>
      </c>
      <c r="E1606" s="273">
        <f t="shared" si="86"/>
        <v>0</v>
      </c>
      <c r="G1606" s="273">
        <f t="shared" si="87"/>
        <v>14.806488345851461</v>
      </c>
      <c r="H1606" s="273">
        <f t="shared" si="87"/>
        <v>0.23963971898118888</v>
      </c>
      <c r="I1606" s="273">
        <f t="shared" si="87"/>
        <v>0.12534040314606038</v>
      </c>
      <c r="K1606" s="273">
        <f t="shared" si="88"/>
        <v>14.806488345851461</v>
      </c>
      <c r="L1606" s="273">
        <f t="shared" si="88"/>
        <v>0.23963971898118888</v>
      </c>
      <c r="M1606" s="273">
        <f t="shared" si="88"/>
        <v>0.12534040314606038</v>
      </c>
      <c r="O1606" s="273">
        <f t="shared" si="89"/>
        <v>10.569957981261366</v>
      </c>
      <c r="P1606" s="273">
        <f t="shared" si="89"/>
        <v>0.82447544283347973</v>
      </c>
      <c r="Q1606" s="273">
        <f t="shared" si="89"/>
        <v>0.16649489154170902</v>
      </c>
      <c r="S1606" s="273">
        <f t="shared" si="90"/>
        <v>10.569957981261366</v>
      </c>
      <c r="T1606" s="273">
        <f t="shared" si="90"/>
        <v>0.82447544283347973</v>
      </c>
      <c r="U1606" s="273">
        <f t="shared" si="90"/>
        <v>0.16649489154170902</v>
      </c>
      <c r="W1606" s="273">
        <f t="shared" si="91"/>
        <v>14.806488345851461</v>
      </c>
      <c r="X1606" s="273">
        <f t="shared" si="91"/>
        <v>0.23963971898118888</v>
      </c>
      <c r="Y1606" s="273">
        <f t="shared" si="91"/>
        <v>0.12534040314606038</v>
      </c>
      <c r="AA1606" s="273">
        <f t="shared" si="92"/>
        <v>10.569957981261366</v>
      </c>
      <c r="AB1606" s="273">
        <f t="shared" si="92"/>
        <v>0.82447544283347973</v>
      </c>
      <c r="AC1606" s="273">
        <f t="shared" si="92"/>
        <v>0.16649489154170902</v>
      </c>
      <c r="AE1606" s="273">
        <f t="shared" si="93"/>
        <v>10.569957981261366</v>
      </c>
      <c r="AF1606" s="273">
        <f t="shared" si="93"/>
        <v>0.82447544283347973</v>
      </c>
      <c r="AG1606" s="273">
        <f t="shared" si="93"/>
        <v>0.16649489154170902</v>
      </c>
      <c r="AI1606" s="273">
        <f t="shared" si="94"/>
        <v>10.569957981261366</v>
      </c>
      <c r="AJ1606" s="273">
        <f t="shared" si="94"/>
        <v>0.82447544283347973</v>
      </c>
      <c r="AK1606" s="273">
        <f t="shared" si="94"/>
        <v>0.16649489154170902</v>
      </c>
      <c r="AL1606" s="265"/>
    </row>
    <row r="1607" spans="1:38">
      <c r="A1607" s="285" t="s">
        <v>64</v>
      </c>
      <c r="C1607" s="273">
        <f t="shared" si="86"/>
        <v>-16.7816091954023</v>
      </c>
      <c r="D1607" s="273">
        <f t="shared" si="86"/>
        <v>0</v>
      </c>
      <c r="E1607" s="273">
        <f t="shared" si="86"/>
        <v>0</v>
      </c>
      <c r="G1607" s="273">
        <f t="shared" si="87"/>
        <v>-14.167359303817252</v>
      </c>
      <c r="H1607" s="273">
        <f t="shared" si="87"/>
        <v>-0.22929555766162066</v>
      </c>
      <c r="I1607" s="273">
        <f t="shared" si="87"/>
        <v>-0.11993002561968572</v>
      </c>
      <c r="K1607" s="273">
        <f t="shared" si="88"/>
        <v>-14.167359303817252</v>
      </c>
      <c r="L1607" s="273">
        <f t="shared" si="88"/>
        <v>-0.22929555766162066</v>
      </c>
      <c r="M1607" s="273">
        <f t="shared" si="88"/>
        <v>-0.11993002561968572</v>
      </c>
      <c r="O1607" s="273">
        <f t="shared" si="89"/>
        <v>-10.113700767456972</v>
      </c>
      <c r="P1607" s="273">
        <f t="shared" si="89"/>
        <v>-0.78888657208638369</v>
      </c>
      <c r="Q1607" s="273">
        <f t="shared" si="89"/>
        <v>-0.15930806114350346</v>
      </c>
      <c r="S1607" s="273">
        <f t="shared" si="90"/>
        <v>-10.113700767456972</v>
      </c>
      <c r="T1607" s="273">
        <f t="shared" si="90"/>
        <v>-0.78888657208638369</v>
      </c>
      <c r="U1607" s="273">
        <f t="shared" si="90"/>
        <v>-0.15930806114350346</v>
      </c>
      <c r="W1607" s="273">
        <f t="shared" si="91"/>
        <v>-14.167359303817252</v>
      </c>
      <c r="X1607" s="273">
        <f t="shared" si="91"/>
        <v>-0.22929555766162066</v>
      </c>
      <c r="Y1607" s="273">
        <f t="shared" si="91"/>
        <v>-0.11993002561968572</v>
      </c>
      <c r="AA1607" s="273">
        <f t="shared" si="92"/>
        <v>-10.113700767456972</v>
      </c>
      <c r="AB1607" s="273">
        <f t="shared" si="92"/>
        <v>-0.78888657208638369</v>
      </c>
      <c r="AC1607" s="273">
        <f t="shared" si="92"/>
        <v>-0.15930806114350346</v>
      </c>
      <c r="AE1607" s="273">
        <f t="shared" si="93"/>
        <v>-10.113700767456972</v>
      </c>
      <c r="AF1607" s="273">
        <f t="shared" si="93"/>
        <v>-0.78888657208638369</v>
      </c>
      <c r="AG1607" s="273">
        <f t="shared" si="93"/>
        <v>-0.15930806114350346</v>
      </c>
      <c r="AI1607" s="273">
        <f t="shared" si="94"/>
        <v>-10.113700767456972</v>
      </c>
      <c r="AJ1607" s="273">
        <f t="shared" si="94"/>
        <v>-0.78888657208638369</v>
      </c>
      <c r="AK1607" s="273">
        <f t="shared" si="94"/>
        <v>-0.15930806114350346</v>
      </c>
      <c r="AL1607" s="265"/>
    </row>
    <row r="1608" spans="1:38">
      <c r="A1608" s="285" t="s">
        <v>1517</v>
      </c>
      <c r="C1608" s="273">
        <f t="shared" si="86"/>
        <v>-16.7816091954023</v>
      </c>
      <c r="D1608" s="273">
        <f t="shared" si="86"/>
        <v>0</v>
      </c>
      <c r="E1608" s="273">
        <f t="shared" si="86"/>
        <v>0</v>
      </c>
      <c r="G1608" s="273">
        <f t="shared" si="87"/>
        <v>-14.167359303817252</v>
      </c>
      <c r="H1608" s="273">
        <f t="shared" si="87"/>
        <v>-0.22929555766162066</v>
      </c>
      <c r="I1608" s="273">
        <f t="shared" si="87"/>
        <v>-0.11993002561968572</v>
      </c>
      <c r="K1608" s="273">
        <f t="shared" si="88"/>
        <v>-14.167359303817252</v>
      </c>
      <c r="L1608" s="273">
        <f t="shared" si="88"/>
        <v>-0.22929555766162066</v>
      </c>
      <c r="M1608" s="273">
        <f t="shared" si="88"/>
        <v>-0.11993002561968572</v>
      </c>
      <c r="O1608" s="273">
        <f t="shared" si="89"/>
        <v>-10.113700767456972</v>
      </c>
      <c r="P1608" s="273">
        <f t="shared" si="89"/>
        <v>-0.78888657208638369</v>
      </c>
      <c r="Q1608" s="273">
        <f t="shared" si="89"/>
        <v>-0.15930806114350346</v>
      </c>
      <c r="S1608" s="273">
        <f t="shared" si="90"/>
        <v>-10.113700767456972</v>
      </c>
      <c r="T1608" s="273">
        <f t="shared" si="90"/>
        <v>-0.78888657208638369</v>
      </c>
      <c r="U1608" s="273">
        <f t="shared" si="90"/>
        <v>-0.15930806114350346</v>
      </c>
      <c r="W1608" s="273">
        <f t="shared" si="91"/>
        <v>-14.167359303817252</v>
      </c>
      <c r="X1608" s="273">
        <f t="shared" si="91"/>
        <v>-0.22929555766162066</v>
      </c>
      <c r="Y1608" s="273">
        <f t="shared" si="91"/>
        <v>-0.11993002561968572</v>
      </c>
      <c r="AA1608" s="273">
        <f t="shared" si="92"/>
        <v>-10.113700767456972</v>
      </c>
      <c r="AB1608" s="273">
        <f t="shared" si="92"/>
        <v>-0.78888657208638369</v>
      </c>
      <c r="AC1608" s="273">
        <f t="shared" si="92"/>
        <v>-0.15930806114350346</v>
      </c>
      <c r="AE1608" s="273">
        <f t="shared" si="93"/>
        <v>-10.113700767456972</v>
      </c>
      <c r="AF1608" s="273">
        <f t="shared" si="93"/>
        <v>-0.78888657208638369</v>
      </c>
      <c r="AG1608" s="273">
        <f t="shared" si="93"/>
        <v>-0.15930806114350346</v>
      </c>
      <c r="AI1608" s="273">
        <f t="shared" si="94"/>
        <v>-10.113700767456972</v>
      </c>
      <c r="AJ1608" s="273">
        <f t="shared" si="94"/>
        <v>-0.78888657208638369</v>
      </c>
      <c r="AK1608" s="273">
        <f t="shared" si="94"/>
        <v>-0.15930806114350346</v>
      </c>
      <c r="AL1608" s="265"/>
    </row>
    <row r="1609" spans="1:38">
      <c r="A1609" s="285" t="s">
        <v>66</v>
      </c>
      <c r="C1609" s="273">
        <f t="shared" ref="C1609:E1612" si="95">IF(C$1314&gt;0,$C1550*C$1582*24*$F$14/C$1314,0)</f>
        <v>-16.7816091954023</v>
      </c>
      <c r="D1609" s="273">
        <f t="shared" si="95"/>
        <v>0</v>
      </c>
      <c r="E1609" s="273">
        <f t="shared" si="95"/>
        <v>0</v>
      </c>
      <c r="G1609" s="273">
        <f t="shared" ref="G1609:I1612" si="96">IF(C$1314&gt;0,$C1550*G$1582*24*$F$14/C$1314,0)</f>
        <v>-14.167359303817252</v>
      </c>
      <c r="H1609" s="273">
        <f t="shared" si="96"/>
        <v>-0.22929555766162066</v>
      </c>
      <c r="I1609" s="273">
        <f t="shared" si="96"/>
        <v>-0.11993002561968572</v>
      </c>
      <c r="K1609" s="273">
        <f t="shared" ref="K1609:M1612" si="97">IF(C$1314&gt;0,$C1550*K$1582*24*$F$14/C$1314,0)</f>
        <v>-14.167359303817252</v>
      </c>
      <c r="L1609" s="273">
        <f t="shared" si="97"/>
        <v>-0.22929555766162066</v>
      </c>
      <c r="M1609" s="273">
        <f t="shared" si="97"/>
        <v>-0.11993002561968572</v>
      </c>
      <c r="O1609" s="273">
        <f t="shared" ref="O1609:Q1612" si="98">IF(C$1314&gt;0,$C1550*O$1582*24*$F$14/C$1314,0)</f>
        <v>-10.113700767456972</v>
      </c>
      <c r="P1609" s="273">
        <f t="shared" si="98"/>
        <v>-0.78888657208638369</v>
      </c>
      <c r="Q1609" s="273">
        <f t="shared" si="98"/>
        <v>-0.15930806114350346</v>
      </c>
      <c r="S1609" s="273">
        <f t="shared" ref="S1609:U1612" si="99">IF(C$1314&gt;0,$C1550*S$1582*24*$F$14/C$1314,0)</f>
        <v>-10.113700767456972</v>
      </c>
      <c r="T1609" s="273">
        <f t="shared" si="99"/>
        <v>-0.78888657208638369</v>
      </c>
      <c r="U1609" s="273">
        <f t="shared" si="99"/>
        <v>-0.15930806114350346</v>
      </c>
      <c r="W1609" s="273">
        <f t="shared" ref="W1609:Y1612" si="100">IF(C$1314&gt;0,$C1550*W$1582*24*$F$14/C$1314,0)</f>
        <v>-14.167359303817252</v>
      </c>
      <c r="X1609" s="273">
        <f t="shared" si="100"/>
        <v>-0.22929555766162066</v>
      </c>
      <c r="Y1609" s="273">
        <f t="shared" si="100"/>
        <v>-0.11993002561968572</v>
      </c>
      <c r="AA1609" s="273">
        <f t="shared" ref="AA1609:AC1612" si="101">IF(C$1314&gt;0,$C1550*AA$1582*24*$F$14/C$1314,0)</f>
        <v>-10.113700767456972</v>
      </c>
      <c r="AB1609" s="273">
        <f t="shared" si="101"/>
        <v>-0.78888657208638369</v>
      </c>
      <c r="AC1609" s="273">
        <f t="shared" si="101"/>
        <v>-0.15930806114350346</v>
      </c>
      <c r="AE1609" s="273">
        <f t="shared" ref="AE1609:AG1612" si="102">IF(C$1314&gt;0,$C1550*AE$1582*24*$F$14/C$1314,0)</f>
        <v>-10.113700767456972</v>
      </c>
      <c r="AF1609" s="273">
        <f t="shared" si="102"/>
        <v>-0.78888657208638369</v>
      </c>
      <c r="AG1609" s="273">
        <f t="shared" si="102"/>
        <v>-0.15930806114350346</v>
      </c>
      <c r="AI1609" s="273">
        <f t="shared" ref="AI1609:AK1612" si="103">IF(C$1314&gt;0,$C1550*AI$1582*24*$F$14/C$1314,0)</f>
        <v>-10.113700767456972</v>
      </c>
      <c r="AJ1609" s="273">
        <f t="shared" si="103"/>
        <v>-0.78888657208638369</v>
      </c>
      <c r="AK1609" s="273">
        <f t="shared" si="103"/>
        <v>-0.15930806114350346</v>
      </c>
      <c r="AL1609" s="265"/>
    </row>
    <row r="1610" spans="1:38">
      <c r="A1610" s="285" t="s">
        <v>1519</v>
      </c>
      <c r="C1610" s="273">
        <f t="shared" si="95"/>
        <v>-16.7816091954023</v>
      </c>
      <c r="D1610" s="273">
        <f t="shared" si="95"/>
        <v>0</v>
      </c>
      <c r="E1610" s="273">
        <f t="shared" si="95"/>
        <v>0</v>
      </c>
      <c r="G1610" s="273">
        <f t="shared" si="96"/>
        <v>-14.167359303817252</v>
      </c>
      <c r="H1610" s="273">
        <f t="shared" si="96"/>
        <v>-0.22929555766162066</v>
      </c>
      <c r="I1610" s="273">
        <f t="shared" si="96"/>
        <v>-0.11993002561968572</v>
      </c>
      <c r="K1610" s="273">
        <f t="shared" si="97"/>
        <v>-14.167359303817252</v>
      </c>
      <c r="L1610" s="273">
        <f t="shared" si="97"/>
        <v>-0.22929555766162066</v>
      </c>
      <c r="M1610" s="273">
        <f t="shared" si="97"/>
        <v>-0.11993002561968572</v>
      </c>
      <c r="O1610" s="273">
        <f t="shared" si="98"/>
        <v>-10.113700767456972</v>
      </c>
      <c r="P1610" s="273">
        <f t="shared" si="98"/>
        <v>-0.78888657208638369</v>
      </c>
      <c r="Q1610" s="273">
        <f t="shared" si="98"/>
        <v>-0.15930806114350346</v>
      </c>
      <c r="S1610" s="273">
        <f t="shared" si="99"/>
        <v>-10.113700767456972</v>
      </c>
      <c r="T1610" s="273">
        <f t="shared" si="99"/>
        <v>-0.78888657208638369</v>
      </c>
      <c r="U1610" s="273">
        <f t="shared" si="99"/>
        <v>-0.15930806114350346</v>
      </c>
      <c r="W1610" s="273">
        <f t="shared" si="100"/>
        <v>-14.167359303817252</v>
      </c>
      <c r="X1610" s="273">
        <f t="shared" si="100"/>
        <v>-0.22929555766162066</v>
      </c>
      <c r="Y1610" s="273">
        <f t="shared" si="100"/>
        <v>-0.11993002561968572</v>
      </c>
      <c r="AA1610" s="273">
        <f t="shared" si="101"/>
        <v>-10.113700767456972</v>
      </c>
      <c r="AB1610" s="273">
        <f t="shared" si="101"/>
        <v>-0.78888657208638369</v>
      </c>
      <c r="AC1610" s="273">
        <f t="shared" si="101"/>
        <v>-0.15930806114350346</v>
      </c>
      <c r="AE1610" s="273">
        <f t="shared" si="102"/>
        <v>-10.113700767456972</v>
      </c>
      <c r="AF1610" s="273">
        <f t="shared" si="102"/>
        <v>-0.78888657208638369</v>
      </c>
      <c r="AG1610" s="273">
        <f t="shared" si="102"/>
        <v>-0.15930806114350346</v>
      </c>
      <c r="AI1610" s="273">
        <f t="shared" si="103"/>
        <v>-10.113700767456972</v>
      </c>
      <c r="AJ1610" s="273">
        <f t="shared" si="103"/>
        <v>-0.78888657208638369</v>
      </c>
      <c r="AK1610" s="273">
        <f t="shared" si="103"/>
        <v>-0.15930806114350346</v>
      </c>
      <c r="AL1610" s="265"/>
    </row>
    <row r="1611" spans="1:38">
      <c r="A1611" s="285" t="s">
        <v>75</v>
      </c>
      <c r="C1611" s="273">
        <f t="shared" si="95"/>
        <v>-16.7816091954023</v>
      </c>
      <c r="D1611" s="273">
        <f t="shared" si="95"/>
        <v>0</v>
      </c>
      <c r="E1611" s="273">
        <f t="shared" si="95"/>
        <v>0</v>
      </c>
      <c r="G1611" s="273">
        <f t="shared" si="96"/>
        <v>-14.167359303817252</v>
      </c>
      <c r="H1611" s="273">
        <f t="shared" si="96"/>
        <v>-0.22929555766162066</v>
      </c>
      <c r="I1611" s="273">
        <f t="shared" si="96"/>
        <v>-0.11993002561968572</v>
      </c>
      <c r="K1611" s="273">
        <f t="shared" si="97"/>
        <v>-14.167359303817252</v>
      </c>
      <c r="L1611" s="273">
        <f t="shared" si="97"/>
        <v>-0.22929555766162066</v>
      </c>
      <c r="M1611" s="273">
        <f t="shared" si="97"/>
        <v>-0.11993002561968572</v>
      </c>
      <c r="O1611" s="273">
        <f t="shared" si="98"/>
        <v>-10.113700767456972</v>
      </c>
      <c r="P1611" s="273">
        <f t="shared" si="98"/>
        <v>-0.78888657208638369</v>
      </c>
      <c r="Q1611" s="273">
        <f t="shared" si="98"/>
        <v>-0.15930806114350346</v>
      </c>
      <c r="S1611" s="273">
        <f t="shared" si="99"/>
        <v>-10.113700767456972</v>
      </c>
      <c r="T1611" s="273">
        <f t="shared" si="99"/>
        <v>-0.78888657208638369</v>
      </c>
      <c r="U1611" s="273">
        <f t="shared" si="99"/>
        <v>-0.15930806114350346</v>
      </c>
      <c r="W1611" s="273">
        <f t="shared" si="100"/>
        <v>-14.167359303817252</v>
      </c>
      <c r="X1611" s="273">
        <f t="shared" si="100"/>
        <v>-0.22929555766162066</v>
      </c>
      <c r="Y1611" s="273">
        <f t="shared" si="100"/>
        <v>-0.11993002561968572</v>
      </c>
      <c r="AA1611" s="273">
        <f t="shared" si="101"/>
        <v>-10.113700767456972</v>
      </c>
      <c r="AB1611" s="273">
        <f t="shared" si="101"/>
        <v>-0.78888657208638369</v>
      </c>
      <c r="AC1611" s="273">
        <f t="shared" si="101"/>
        <v>-0.15930806114350346</v>
      </c>
      <c r="AE1611" s="273">
        <f t="shared" si="102"/>
        <v>-10.113700767456972</v>
      </c>
      <c r="AF1611" s="273">
        <f t="shared" si="102"/>
        <v>-0.78888657208638369</v>
      </c>
      <c r="AG1611" s="273">
        <f t="shared" si="102"/>
        <v>-0.15930806114350346</v>
      </c>
      <c r="AI1611" s="273">
        <f t="shared" si="103"/>
        <v>-10.113700767456972</v>
      </c>
      <c r="AJ1611" s="273">
        <f t="shared" si="103"/>
        <v>-0.78888657208638369</v>
      </c>
      <c r="AK1611" s="273">
        <f t="shared" si="103"/>
        <v>-0.15930806114350346</v>
      </c>
      <c r="AL1611" s="265"/>
    </row>
    <row r="1612" spans="1:38">
      <c r="A1612" s="285" t="s">
        <v>1521</v>
      </c>
      <c r="C1612" s="273">
        <f t="shared" si="95"/>
        <v>-16.7816091954023</v>
      </c>
      <c r="D1612" s="273">
        <f t="shared" si="95"/>
        <v>0</v>
      </c>
      <c r="E1612" s="273">
        <f t="shared" si="95"/>
        <v>0</v>
      </c>
      <c r="G1612" s="273">
        <f t="shared" si="96"/>
        <v>-14.167359303817252</v>
      </c>
      <c r="H1612" s="273">
        <f t="shared" si="96"/>
        <v>-0.22929555766162066</v>
      </c>
      <c r="I1612" s="273">
        <f t="shared" si="96"/>
        <v>-0.11993002561968572</v>
      </c>
      <c r="K1612" s="273">
        <f t="shared" si="97"/>
        <v>-14.167359303817252</v>
      </c>
      <c r="L1612" s="273">
        <f t="shared" si="97"/>
        <v>-0.22929555766162066</v>
      </c>
      <c r="M1612" s="273">
        <f t="shared" si="97"/>
        <v>-0.11993002561968572</v>
      </c>
      <c r="O1612" s="273">
        <f t="shared" si="98"/>
        <v>-10.113700767456972</v>
      </c>
      <c r="P1612" s="273">
        <f t="shared" si="98"/>
        <v>-0.78888657208638369</v>
      </c>
      <c r="Q1612" s="273">
        <f t="shared" si="98"/>
        <v>-0.15930806114350346</v>
      </c>
      <c r="S1612" s="273">
        <f t="shared" si="99"/>
        <v>-10.113700767456972</v>
      </c>
      <c r="T1612" s="273">
        <f t="shared" si="99"/>
        <v>-0.78888657208638369</v>
      </c>
      <c r="U1612" s="273">
        <f t="shared" si="99"/>
        <v>-0.15930806114350346</v>
      </c>
      <c r="W1612" s="273">
        <f t="shared" si="100"/>
        <v>-14.167359303817252</v>
      </c>
      <c r="X1612" s="273">
        <f t="shared" si="100"/>
        <v>-0.22929555766162066</v>
      </c>
      <c r="Y1612" s="273">
        <f t="shared" si="100"/>
        <v>-0.11993002561968572</v>
      </c>
      <c r="AA1612" s="273">
        <f t="shared" si="101"/>
        <v>-10.113700767456972</v>
      </c>
      <c r="AB1612" s="273">
        <f t="shared" si="101"/>
        <v>-0.78888657208638369</v>
      </c>
      <c r="AC1612" s="273">
        <f t="shared" si="101"/>
        <v>-0.15930806114350346</v>
      </c>
      <c r="AE1612" s="273">
        <f t="shared" si="102"/>
        <v>-10.113700767456972</v>
      </c>
      <c r="AF1612" s="273">
        <f t="shared" si="102"/>
        <v>-0.78888657208638369</v>
      </c>
      <c r="AG1612" s="273">
        <f t="shared" si="102"/>
        <v>-0.15930806114350346</v>
      </c>
      <c r="AI1612" s="273">
        <f t="shared" si="103"/>
        <v>-10.113700767456972</v>
      </c>
      <c r="AJ1612" s="273">
        <f t="shared" si="103"/>
        <v>-0.78888657208638369</v>
      </c>
      <c r="AK1612" s="273">
        <f t="shared" si="103"/>
        <v>-0.15930806114350346</v>
      </c>
      <c r="AL1612" s="265"/>
    </row>
    <row r="1614" spans="1:38" ht="21" customHeight="1">
      <c r="A1614" s="1" t="s">
        <v>1263</v>
      </c>
    </row>
    <row r="1615" spans="1:38">
      <c r="A1615" s="264" t="s">
        <v>217</v>
      </c>
    </row>
    <row r="1616" spans="1:38">
      <c r="A1616" s="269" t="s">
        <v>1224</v>
      </c>
    </row>
    <row r="1617" spans="1:38">
      <c r="A1617" s="264" t="s">
        <v>584</v>
      </c>
    </row>
    <row r="1619" spans="1:38">
      <c r="B1619" s="288" t="s">
        <v>22</v>
      </c>
      <c r="C1619" s="284" t="s">
        <v>195</v>
      </c>
      <c r="D1619" s="284" t="s">
        <v>196</v>
      </c>
      <c r="E1619" s="284" t="s">
        <v>197</v>
      </c>
      <c r="F1619" s="288" t="s">
        <v>23</v>
      </c>
      <c r="G1619" s="284" t="s">
        <v>195</v>
      </c>
      <c r="H1619" s="284" t="s">
        <v>196</v>
      </c>
      <c r="I1619" s="284" t="s">
        <v>197</v>
      </c>
      <c r="J1619" s="288" t="s">
        <v>24</v>
      </c>
      <c r="K1619" s="284" t="s">
        <v>195</v>
      </c>
      <c r="L1619" s="284" t="s">
        <v>196</v>
      </c>
      <c r="M1619" s="284" t="s">
        <v>197</v>
      </c>
      <c r="N1619" s="288" t="s">
        <v>25</v>
      </c>
      <c r="O1619" s="284" t="s">
        <v>195</v>
      </c>
      <c r="P1619" s="284" t="s">
        <v>196</v>
      </c>
      <c r="Q1619" s="284" t="s">
        <v>197</v>
      </c>
      <c r="R1619" s="288" t="s">
        <v>26</v>
      </c>
      <c r="S1619" s="284" t="s">
        <v>195</v>
      </c>
      <c r="T1619" s="284" t="s">
        <v>196</v>
      </c>
      <c r="U1619" s="284" t="s">
        <v>197</v>
      </c>
      <c r="V1619" s="288" t="s">
        <v>31</v>
      </c>
      <c r="W1619" s="284" t="s">
        <v>195</v>
      </c>
      <c r="X1619" s="284" t="s">
        <v>196</v>
      </c>
      <c r="Y1619" s="284" t="s">
        <v>197</v>
      </c>
      <c r="Z1619" s="288" t="s">
        <v>27</v>
      </c>
      <c r="AA1619" s="284" t="s">
        <v>195</v>
      </c>
      <c r="AB1619" s="284" t="s">
        <v>196</v>
      </c>
      <c r="AC1619" s="284" t="s">
        <v>197</v>
      </c>
      <c r="AD1619" s="288" t="s">
        <v>28</v>
      </c>
      <c r="AE1619" s="284" t="s">
        <v>195</v>
      </c>
      <c r="AF1619" s="284" t="s">
        <v>196</v>
      </c>
      <c r="AG1619" s="284" t="s">
        <v>197</v>
      </c>
      <c r="AH1619" s="288" t="s">
        <v>29</v>
      </c>
      <c r="AI1619" s="284" t="s">
        <v>195</v>
      </c>
      <c r="AJ1619" s="284" t="s">
        <v>196</v>
      </c>
      <c r="AK1619" s="284" t="s">
        <v>197</v>
      </c>
    </row>
    <row r="1620" spans="1:38">
      <c r="A1620" s="285" t="s">
        <v>54</v>
      </c>
      <c r="C1620" s="274">
        <f>C$1593</f>
        <v>24.700696992773025</v>
      </c>
      <c r="D1620" s="274">
        <f>D$1593</f>
        <v>0</v>
      </c>
      <c r="E1620" s="274">
        <f>E$1593</f>
        <v>0</v>
      </c>
      <c r="G1620" s="274">
        <f>G$1593</f>
        <v>20.85280650244249</v>
      </c>
      <c r="H1620" s="274">
        <f>H$1593</f>
        <v>0.33749803285493757</v>
      </c>
      <c r="I1620" s="274">
        <f>I$1593</f>
        <v>0.17652390713394561</v>
      </c>
      <c r="K1620" s="274">
        <f>K$1593</f>
        <v>20.85280650244249</v>
      </c>
      <c r="L1620" s="274">
        <f>L$1593</f>
        <v>0.33749803285493757</v>
      </c>
      <c r="M1620" s="274">
        <f>M$1593</f>
        <v>0.17652390713394561</v>
      </c>
      <c r="O1620" s="274">
        <f>O$1593</f>
        <v>14.886263601048059</v>
      </c>
      <c r="P1620" s="274">
        <f>P$1593</f>
        <v>1.1611549257214142</v>
      </c>
      <c r="Q1620" s="274">
        <f>Q$1593</f>
        <v>0.23448407724152726</v>
      </c>
      <c r="S1620" s="274">
        <f>S$1593</f>
        <v>14.886263601048059</v>
      </c>
      <c r="T1620" s="274">
        <f>T$1593</f>
        <v>1.1611549257214142</v>
      </c>
      <c r="U1620" s="274">
        <f>U$1593</f>
        <v>0.23448407724152726</v>
      </c>
      <c r="W1620" s="274">
        <f>W$1593</f>
        <v>20.85280650244249</v>
      </c>
      <c r="X1620" s="274">
        <f>X$1593</f>
        <v>0.33749803285493757</v>
      </c>
      <c r="Y1620" s="274">
        <f>Y$1593</f>
        <v>0.17652390713394561</v>
      </c>
      <c r="AA1620" s="274">
        <f>AA$1593</f>
        <v>14.886263601048059</v>
      </c>
      <c r="AB1620" s="274">
        <f>AB$1593</f>
        <v>1.1611549257214142</v>
      </c>
      <c r="AC1620" s="274">
        <f>AC$1593</f>
        <v>0.23448407724152726</v>
      </c>
      <c r="AE1620" s="274">
        <f>AE$1593</f>
        <v>14.886263601048059</v>
      </c>
      <c r="AF1620" s="274">
        <f>AF$1593</f>
        <v>1.1611549257214142</v>
      </c>
      <c r="AG1620" s="274">
        <f>AG$1593</f>
        <v>0.23448407724152726</v>
      </c>
      <c r="AI1620" s="274">
        <f>AI$1593</f>
        <v>14.886263601048059</v>
      </c>
      <c r="AJ1620" s="274">
        <f>AJ$1593</f>
        <v>1.1611549257214142</v>
      </c>
      <c r="AK1620" s="274">
        <f>AK$1593</f>
        <v>0.23448407724152726</v>
      </c>
      <c r="AL1620" s="265"/>
    </row>
    <row r="1621" spans="1:38">
      <c r="A1621" s="285" t="s">
        <v>56</v>
      </c>
      <c r="C1621" s="274">
        <f>C$1596</f>
        <v>25.922636166029935</v>
      </c>
      <c r="D1621" s="274">
        <f>D$1596</f>
        <v>0</v>
      </c>
      <c r="E1621" s="274">
        <f>E$1596</f>
        <v>0</v>
      </c>
      <c r="G1621" s="274">
        <f>G$1596</f>
        <v>21.884391204086178</v>
      </c>
      <c r="H1621" s="274">
        <f>H$1596</f>
        <v>0.35419400169190024</v>
      </c>
      <c r="I1621" s="274">
        <f>I$1596</f>
        <v>0.18525651403999541</v>
      </c>
      <c r="K1621" s="274">
        <f>K$1596</f>
        <v>21.884391204086178</v>
      </c>
      <c r="L1621" s="274">
        <f>L$1596</f>
        <v>0.35419400169190024</v>
      </c>
      <c r="M1621" s="274">
        <f>M$1596</f>
        <v>0.18525651403999541</v>
      </c>
      <c r="O1621" s="274">
        <f>O$1596</f>
        <v>15.622684465725328</v>
      </c>
      <c r="P1621" s="274">
        <f>P$1596</f>
        <v>1.2185970574302623</v>
      </c>
      <c r="Q1621" s="274">
        <f>Q$1596</f>
        <v>0.24608396365648361</v>
      </c>
      <c r="S1621" s="274">
        <f>S$1596</f>
        <v>15.622684465725328</v>
      </c>
      <c r="T1621" s="274">
        <f>T$1596</f>
        <v>1.2185970574302623</v>
      </c>
      <c r="U1621" s="274">
        <f>U$1596</f>
        <v>0.24608396365648361</v>
      </c>
      <c r="W1621" s="274">
        <f>W$1596</f>
        <v>21.884391204086178</v>
      </c>
      <c r="X1621" s="274">
        <f>X$1596</f>
        <v>0.35419400169190024</v>
      </c>
      <c r="Y1621" s="274">
        <f>Y$1596</f>
        <v>0.18525651403999541</v>
      </c>
      <c r="AA1621" s="274">
        <f>AA$1596</f>
        <v>15.622684465725328</v>
      </c>
      <c r="AB1621" s="274">
        <f>AB$1596</f>
        <v>1.2185970574302623</v>
      </c>
      <c r="AC1621" s="274">
        <f>AC$1596</f>
        <v>0.24608396365648361</v>
      </c>
      <c r="AE1621" s="274">
        <f>AE$1596</f>
        <v>15.622684465725328</v>
      </c>
      <c r="AF1621" s="274">
        <f>AF$1596</f>
        <v>1.2185970574302623</v>
      </c>
      <c r="AG1621" s="274">
        <f>AG$1596</f>
        <v>0.24608396365648361</v>
      </c>
      <c r="AI1621" s="274">
        <f>AI$1596</f>
        <v>15.622684465725328</v>
      </c>
      <c r="AJ1621" s="274">
        <f>AJ$1596</f>
        <v>1.2185970574302623</v>
      </c>
      <c r="AK1621" s="274">
        <f>AK$1596</f>
        <v>0.24608396365648361</v>
      </c>
      <c r="AL1621" s="265"/>
    </row>
    <row r="1623" spans="1:38" ht="21" customHeight="1">
      <c r="A1623" s="1" t="s">
        <v>1264</v>
      </c>
    </row>
    <row r="1624" spans="1:38">
      <c r="A1624" s="264" t="s">
        <v>217</v>
      </c>
    </row>
    <row r="1625" spans="1:38">
      <c r="A1625" s="269" t="s">
        <v>429</v>
      </c>
    </row>
    <row r="1626" spans="1:38">
      <c r="A1626" s="264" t="s">
        <v>584</v>
      </c>
    </row>
    <row r="1628" spans="1:38" ht="30">
      <c r="B1628" s="284" t="s">
        <v>1229</v>
      </c>
    </row>
    <row r="1629" spans="1:38">
      <c r="A1629" s="285" t="s">
        <v>54</v>
      </c>
      <c r="B1629" s="275">
        <f>B$1429</f>
        <v>4330764.5850651627</v>
      </c>
      <c r="C1629" s="265"/>
    </row>
    <row r="1630" spans="1:38">
      <c r="A1630" s="285" t="s">
        <v>56</v>
      </c>
      <c r="B1630" s="275">
        <f>B$1432</f>
        <v>1182644.1894392911</v>
      </c>
      <c r="C1630" s="265"/>
    </row>
    <row r="1632" spans="1:38" ht="21" customHeight="1">
      <c r="A1632" s="1" t="s">
        <v>1265</v>
      </c>
    </row>
    <row r="1633" spans="1:11">
      <c r="A1633" s="264" t="s">
        <v>217</v>
      </c>
    </row>
    <row r="1634" spans="1:11">
      <c r="A1634" s="269" t="s">
        <v>1230</v>
      </c>
    </row>
    <row r="1635" spans="1:11">
      <c r="A1635" s="264" t="s">
        <v>584</v>
      </c>
    </row>
    <row r="1637" spans="1:11">
      <c r="B1637" s="284" t="s">
        <v>195</v>
      </c>
      <c r="C1637" s="284" t="s">
        <v>196</v>
      </c>
      <c r="D1637" s="284" t="s">
        <v>197</v>
      </c>
    </row>
    <row r="1638" spans="1:11">
      <c r="A1638" s="285" t="s">
        <v>54</v>
      </c>
      <c r="B1638" s="289">
        <f>B$1344</f>
        <v>8.8740200313094042E-2</v>
      </c>
      <c r="C1638" s="289">
        <f>C$1344</f>
        <v>0.46239559627820986</v>
      </c>
      <c r="D1638" s="289">
        <f>D$1344</f>
        <v>0.44886420340869609</v>
      </c>
      <c r="E1638" s="265"/>
    </row>
    <row r="1639" spans="1:11">
      <c r="A1639" s="285" t="s">
        <v>56</v>
      </c>
      <c r="B1639" s="289">
        <f>B$1347</f>
        <v>6.26200465507879E-2</v>
      </c>
      <c r="C1639" s="289">
        <f>C$1347</f>
        <v>0.56596294840089356</v>
      </c>
      <c r="D1639" s="289">
        <f>D$1347</f>
        <v>0.37141700504831854</v>
      </c>
      <c r="E1639" s="265"/>
    </row>
    <row r="1641" spans="1:11" ht="21" customHeight="1">
      <c r="A1641" s="1" t="s">
        <v>1266</v>
      </c>
    </row>
    <row r="1642" spans="1:11">
      <c r="A1642" s="264" t="s">
        <v>217</v>
      </c>
    </row>
    <row r="1643" spans="1:11">
      <c r="A1643" s="269" t="s">
        <v>1267</v>
      </c>
    </row>
    <row r="1644" spans="1:11">
      <c r="A1644" s="269" t="s">
        <v>1268</v>
      </c>
    </row>
    <row r="1645" spans="1:11">
      <c r="A1645" s="264" t="s">
        <v>230</v>
      </c>
    </row>
    <row r="1647" spans="1:11">
      <c r="B1647" s="284" t="s">
        <v>22</v>
      </c>
      <c r="C1647" s="284" t="s">
        <v>23</v>
      </c>
      <c r="D1647" s="284" t="s">
        <v>24</v>
      </c>
      <c r="E1647" s="284" t="s">
        <v>25</v>
      </c>
      <c r="F1647" s="284" t="s">
        <v>26</v>
      </c>
      <c r="G1647" s="284" t="s">
        <v>31</v>
      </c>
      <c r="H1647" s="284" t="s">
        <v>27</v>
      </c>
      <c r="I1647" s="284" t="s">
        <v>28</v>
      </c>
      <c r="J1647" s="284" t="s">
        <v>29</v>
      </c>
    </row>
    <row r="1648" spans="1:11">
      <c r="A1648" s="285" t="s">
        <v>54</v>
      </c>
      <c r="B1648" s="273">
        <f>SUMPRODUCT($C1620:$E1620,$B1638:$D1638)</f>
        <v>2.191944799011718</v>
      </c>
      <c r="C1648" s="273">
        <f>SUMPRODUCT($G1620:$I1620,$B1638:$D1638)</f>
        <v>2.0857750932198873</v>
      </c>
      <c r="D1648" s="273">
        <f>SUMPRODUCT($K1620:$M1620,$B1638:$D1638)</f>
        <v>2.0857750932198873</v>
      </c>
      <c r="E1648" s="273">
        <f>SUMPRODUCT($O1620:$Q1620,$B1638:$D1638)</f>
        <v>1.9631744466639003</v>
      </c>
      <c r="F1648" s="273">
        <f>SUMPRODUCT($S1620:$U1620,$B1638:$D1638)</f>
        <v>1.9631744466639003</v>
      </c>
      <c r="G1648" s="273">
        <f>SUMPRODUCT($W1620:$Y1620,$B1638:$D1638)</f>
        <v>2.0857750932198873</v>
      </c>
      <c r="H1648" s="273">
        <f>SUMPRODUCT($AA1620:$AC1620,$B1638:$D1638)</f>
        <v>1.9631744466639003</v>
      </c>
      <c r="I1648" s="273">
        <f>SUMPRODUCT($AE1620:$AG1620,$B1638:$D1638)</f>
        <v>1.9631744466639003</v>
      </c>
      <c r="J1648" s="273">
        <f>SUMPRODUCT($AI1620:$AK1620,$B1638:$D1638)</f>
        <v>1.9631744466639003</v>
      </c>
      <c r="K1648" s="265"/>
    </row>
    <row r="1649" spans="1:11">
      <c r="A1649" s="285" t="s">
        <v>56</v>
      </c>
      <c r="B1649" s="273">
        <f>SUMPRODUCT($C1621:$E1621,$B1639:$D1639)</f>
        <v>1.6232766834359325</v>
      </c>
      <c r="C1649" s="273">
        <f>SUMPRODUCT($G1621:$I1621,$B1639:$D1639)</f>
        <v>1.6396696970494156</v>
      </c>
      <c r="D1649" s="273">
        <f>SUMPRODUCT($K1621:$M1621,$B1639:$D1639)</f>
        <v>1.6396696970494156</v>
      </c>
      <c r="E1649" s="273">
        <f>SUMPRODUCT($O1621:$Q1621,$B1639:$D1639)</f>
        <v>1.7593737807995855</v>
      </c>
      <c r="F1649" s="273">
        <f>SUMPRODUCT($S1621:$U1621,$B1639:$D1639)</f>
        <v>1.7593737807995855</v>
      </c>
      <c r="G1649" s="273">
        <f>SUMPRODUCT($W1621:$Y1621,$B1639:$D1639)</f>
        <v>1.6396696970494156</v>
      </c>
      <c r="H1649" s="273">
        <f>SUMPRODUCT($AA1621:$AC1621,$B1639:$D1639)</f>
        <v>1.7593737807995855</v>
      </c>
      <c r="I1649" s="273">
        <f>SUMPRODUCT($AE1621:$AG1621,$B1639:$D1639)</f>
        <v>1.7593737807995855</v>
      </c>
      <c r="J1649" s="273">
        <f>SUMPRODUCT($AI1621:$AK1621,$B1639:$D1639)</f>
        <v>1.7593737807995855</v>
      </c>
      <c r="K1649" s="265"/>
    </row>
    <row r="1651" spans="1:11" ht="21" customHeight="1">
      <c r="A1651" s="1" t="s">
        <v>1269</v>
      </c>
    </row>
    <row r="1652" spans="1:11">
      <c r="A1652" s="264" t="s">
        <v>217</v>
      </c>
    </row>
    <row r="1653" spans="1:11">
      <c r="A1653" s="269" t="s">
        <v>429</v>
      </c>
    </row>
    <row r="1654" spans="1:11">
      <c r="A1654" s="264" t="s">
        <v>584</v>
      </c>
    </row>
    <row r="1656" spans="1:11" ht="30">
      <c r="B1656" s="284" t="s">
        <v>1231</v>
      </c>
    </row>
    <row r="1657" spans="1:11">
      <c r="A1657" s="285" t="s">
        <v>55</v>
      </c>
      <c r="B1657" s="275">
        <f>B$1430</f>
        <v>1273698.8698222912</v>
      </c>
      <c r="C1657" s="265"/>
    </row>
    <row r="1658" spans="1:11">
      <c r="A1658" s="285" t="s">
        <v>57</v>
      </c>
      <c r="B1658" s="275">
        <f>B$1433</f>
        <v>578157.93908674805</v>
      </c>
      <c r="C1658" s="265"/>
    </row>
    <row r="1660" spans="1:11" ht="21" customHeight="1">
      <c r="A1660" s="1" t="s">
        <v>1270</v>
      </c>
    </row>
    <row r="1661" spans="1:11">
      <c r="A1661" s="264" t="s">
        <v>217</v>
      </c>
    </row>
    <row r="1662" spans="1:11">
      <c r="A1662" s="269" t="s">
        <v>1224</v>
      </c>
    </row>
    <row r="1663" spans="1:11">
      <c r="A1663" s="264" t="s">
        <v>584</v>
      </c>
    </row>
    <row r="1665" spans="1:38">
      <c r="B1665" s="288" t="s">
        <v>22</v>
      </c>
      <c r="C1665" s="284" t="s">
        <v>195</v>
      </c>
      <c r="D1665" s="284" t="s">
        <v>196</v>
      </c>
      <c r="E1665" s="284" t="s">
        <v>197</v>
      </c>
      <c r="F1665" s="288" t="s">
        <v>23</v>
      </c>
      <c r="G1665" s="284" t="s">
        <v>195</v>
      </c>
      <c r="H1665" s="284" t="s">
        <v>196</v>
      </c>
      <c r="I1665" s="284" t="s">
        <v>197</v>
      </c>
      <c r="J1665" s="288" t="s">
        <v>24</v>
      </c>
      <c r="K1665" s="284" t="s">
        <v>195</v>
      </c>
      <c r="L1665" s="284" t="s">
        <v>196</v>
      </c>
      <c r="M1665" s="284" t="s">
        <v>197</v>
      </c>
      <c r="N1665" s="288" t="s">
        <v>25</v>
      </c>
      <c r="O1665" s="284" t="s">
        <v>195</v>
      </c>
      <c r="P1665" s="284" t="s">
        <v>196</v>
      </c>
      <c r="Q1665" s="284" t="s">
        <v>197</v>
      </c>
      <c r="R1665" s="288" t="s">
        <v>26</v>
      </c>
      <c r="S1665" s="284" t="s">
        <v>195</v>
      </c>
      <c r="T1665" s="284" t="s">
        <v>196</v>
      </c>
      <c r="U1665" s="284" t="s">
        <v>197</v>
      </c>
      <c r="V1665" s="288" t="s">
        <v>31</v>
      </c>
      <c r="W1665" s="284" t="s">
        <v>195</v>
      </c>
      <c r="X1665" s="284" t="s">
        <v>196</v>
      </c>
      <c r="Y1665" s="284" t="s">
        <v>197</v>
      </c>
      <c r="Z1665" s="288" t="s">
        <v>27</v>
      </c>
      <c r="AA1665" s="284" t="s">
        <v>195</v>
      </c>
      <c r="AB1665" s="284" t="s">
        <v>196</v>
      </c>
      <c r="AC1665" s="284" t="s">
        <v>197</v>
      </c>
      <c r="AD1665" s="288" t="s">
        <v>28</v>
      </c>
      <c r="AE1665" s="284" t="s">
        <v>195</v>
      </c>
      <c r="AF1665" s="284" t="s">
        <v>196</v>
      </c>
      <c r="AG1665" s="284" t="s">
        <v>197</v>
      </c>
      <c r="AH1665" s="288" t="s">
        <v>29</v>
      </c>
      <c r="AI1665" s="284" t="s">
        <v>195</v>
      </c>
      <c r="AJ1665" s="284" t="s">
        <v>196</v>
      </c>
      <c r="AK1665" s="284" t="s">
        <v>197</v>
      </c>
    </row>
    <row r="1666" spans="1:38">
      <c r="A1666" s="285" t="s">
        <v>55</v>
      </c>
      <c r="C1666" s="274">
        <f>C$1594</f>
        <v>25.840127334720794</v>
      </c>
      <c r="D1666" s="274">
        <f>D$1594</f>
        <v>0</v>
      </c>
      <c r="E1666" s="274">
        <f>E$1594</f>
        <v>0</v>
      </c>
      <c r="G1666" s="274">
        <f>G$1594</f>
        <v>21.814735651672596</v>
      </c>
      <c r="H1666" s="274">
        <f>H$1594</f>
        <v>0.35306664207657673</v>
      </c>
      <c r="I1666" s="274">
        <f>I$1594</f>
        <v>0.18466686342082431</v>
      </c>
      <c r="K1666" s="274">
        <f>K$1594</f>
        <v>21.814735651672596</v>
      </c>
      <c r="L1666" s="274">
        <f>L$1594</f>
        <v>0.35306664207657673</v>
      </c>
      <c r="M1666" s="274">
        <f>M$1594</f>
        <v>0.18466686342082431</v>
      </c>
      <c r="O1666" s="274">
        <f>O$1594</f>
        <v>15.572959220618213</v>
      </c>
      <c r="P1666" s="274">
        <f>P$1594</f>
        <v>1.2147184002442664</v>
      </c>
      <c r="Q1666" s="274">
        <f>Q$1594</f>
        <v>0.24530070611604007</v>
      </c>
      <c r="S1666" s="274">
        <f>S$1594</f>
        <v>15.572959220618213</v>
      </c>
      <c r="T1666" s="274">
        <f>T$1594</f>
        <v>1.2147184002442664</v>
      </c>
      <c r="U1666" s="274">
        <f>U$1594</f>
        <v>0.24530070611604007</v>
      </c>
      <c r="W1666" s="274">
        <f>W$1594</f>
        <v>21.814735651672596</v>
      </c>
      <c r="X1666" s="274">
        <f>X$1594</f>
        <v>0.35306664207657673</v>
      </c>
      <c r="Y1666" s="274">
        <f>Y$1594</f>
        <v>0.18466686342082431</v>
      </c>
      <c r="AA1666" s="274">
        <f>AA$1594</f>
        <v>15.572959220618213</v>
      </c>
      <c r="AB1666" s="274">
        <f>AB$1594</f>
        <v>1.2147184002442664</v>
      </c>
      <c r="AC1666" s="274">
        <f>AC$1594</f>
        <v>0.24530070611604007</v>
      </c>
      <c r="AE1666" s="274">
        <f>AE$1594</f>
        <v>15.572959220618213</v>
      </c>
      <c r="AF1666" s="274">
        <f>AF$1594</f>
        <v>1.2147184002442664</v>
      </c>
      <c r="AG1666" s="274">
        <f>AG$1594</f>
        <v>0.24530070611604007</v>
      </c>
      <c r="AI1666" s="274">
        <f>AI$1594</f>
        <v>15.572959220618213</v>
      </c>
      <c r="AJ1666" s="274">
        <f>AJ$1594</f>
        <v>1.2147184002442664</v>
      </c>
      <c r="AK1666" s="274">
        <f>AK$1594</f>
        <v>0.24530070611604007</v>
      </c>
      <c r="AL1666" s="265"/>
    </row>
    <row r="1667" spans="1:38">
      <c r="A1667" s="285" t="s">
        <v>57</v>
      </c>
      <c r="C1667" s="274">
        <f>C$1597</f>
        <v>24.769303792945756</v>
      </c>
      <c r="D1667" s="274">
        <f>D$1597</f>
        <v>0</v>
      </c>
      <c r="E1667" s="274">
        <f>E$1597</f>
        <v>0</v>
      </c>
      <c r="G1667" s="274">
        <f>G$1597</f>
        <v>20.910725691086125</v>
      </c>
      <c r="H1667" s="274">
        <f>H$1597</f>
        <v>0.33843544203434422</v>
      </c>
      <c r="I1667" s="274">
        <f>I$1597</f>
        <v>0.17701420667593792</v>
      </c>
      <c r="K1667" s="274">
        <f>K$1597</f>
        <v>20.910725691086125</v>
      </c>
      <c r="L1667" s="274">
        <f>L$1597</f>
        <v>0.33843544203434422</v>
      </c>
      <c r="M1667" s="274">
        <f>M$1597</f>
        <v>0.17701420667593792</v>
      </c>
      <c r="O1667" s="274">
        <f>O$1597</f>
        <v>14.927610568402645</v>
      </c>
      <c r="P1667" s="274">
        <f>P$1597</f>
        <v>1.1643800624040699</v>
      </c>
      <c r="Q1667" s="274">
        <f>Q$1597</f>
        <v>0.23513536259739007</v>
      </c>
      <c r="S1667" s="274">
        <f>S$1597</f>
        <v>14.927610568402645</v>
      </c>
      <c r="T1667" s="274">
        <f>T$1597</f>
        <v>1.1643800624040699</v>
      </c>
      <c r="U1667" s="274">
        <f>U$1597</f>
        <v>0.23513536259739007</v>
      </c>
      <c r="W1667" s="274">
        <f>W$1597</f>
        <v>20.910725691086125</v>
      </c>
      <c r="X1667" s="274">
        <f>X$1597</f>
        <v>0.33843544203434422</v>
      </c>
      <c r="Y1667" s="274">
        <f>Y$1597</f>
        <v>0.17701420667593792</v>
      </c>
      <c r="AA1667" s="274">
        <f>AA$1597</f>
        <v>14.927610568402645</v>
      </c>
      <c r="AB1667" s="274">
        <f>AB$1597</f>
        <v>1.1643800624040699</v>
      </c>
      <c r="AC1667" s="274">
        <f>AC$1597</f>
        <v>0.23513536259739007</v>
      </c>
      <c r="AE1667" s="274">
        <f>AE$1597</f>
        <v>14.927610568402645</v>
      </c>
      <c r="AF1667" s="274">
        <f>AF$1597</f>
        <v>1.1643800624040699</v>
      </c>
      <c r="AG1667" s="274">
        <f>AG$1597</f>
        <v>0.23513536259739007</v>
      </c>
      <c r="AI1667" s="274">
        <f>AI$1597</f>
        <v>14.927610568402645</v>
      </c>
      <c r="AJ1667" s="274">
        <f>AJ$1597</f>
        <v>1.1643800624040699</v>
      </c>
      <c r="AK1667" s="274">
        <f>AK$1597</f>
        <v>0.23513536259739007</v>
      </c>
      <c r="AL1667" s="265"/>
    </row>
    <row r="1669" spans="1:38" ht="21" customHeight="1">
      <c r="A1669" s="1" t="s">
        <v>1228</v>
      </c>
    </row>
    <row r="1670" spans="1:38">
      <c r="A1670" s="264" t="s">
        <v>217</v>
      </c>
    </row>
    <row r="1671" spans="1:38">
      <c r="A1671" s="269" t="s">
        <v>1227</v>
      </c>
    </row>
    <row r="1672" spans="1:38">
      <c r="A1672" s="264" t="s">
        <v>584</v>
      </c>
    </row>
    <row r="1674" spans="1:38">
      <c r="B1674" s="284" t="s">
        <v>195</v>
      </c>
      <c r="C1674" s="284" t="s">
        <v>196</v>
      </c>
      <c r="D1674" s="284" t="s">
        <v>197</v>
      </c>
    </row>
    <row r="1675" spans="1:38">
      <c r="A1675" s="285" t="s">
        <v>55</v>
      </c>
      <c r="B1675" s="289">
        <f>B$1494</f>
        <v>5.1401295879775592E-2</v>
      </c>
      <c r="C1675" s="289">
        <f>C$1494</f>
        <v>0.26877466489892837</v>
      </c>
      <c r="D1675" s="289">
        <f>D$1494</f>
        <v>0.67982403922129597</v>
      </c>
      <c r="E1675" s="265"/>
    </row>
    <row r="1676" spans="1:38">
      <c r="A1676" s="285" t="s">
        <v>57</v>
      </c>
      <c r="B1676" s="289">
        <f>B$1495</f>
        <v>5.5416264697322824E-2</v>
      </c>
      <c r="C1676" s="289">
        <f>C$1495</f>
        <v>0.43902260037935392</v>
      </c>
      <c r="D1676" s="289">
        <f>D$1495</f>
        <v>0.50556113492332333</v>
      </c>
      <c r="E1676" s="265"/>
    </row>
    <row r="1678" spans="1:38" ht="21" customHeight="1">
      <c r="A1678" s="1" t="s">
        <v>1271</v>
      </c>
    </row>
    <row r="1679" spans="1:38">
      <c r="A1679" s="264" t="s">
        <v>217</v>
      </c>
    </row>
    <row r="1680" spans="1:38">
      <c r="A1680" s="269" t="s">
        <v>1272</v>
      </c>
    </row>
    <row r="1681" spans="1:11">
      <c r="A1681" s="269" t="s">
        <v>1223</v>
      </c>
    </row>
    <row r="1682" spans="1:11">
      <c r="A1682" s="264" t="s">
        <v>230</v>
      </c>
    </row>
    <row r="1684" spans="1:11">
      <c r="B1684" s="284" t="s">
        <v>22</v>
      </c>
      <c r="C1684" s="284" t="s">
        <v>23</v>
      </c>
      <c r="D1684" s="284" t="s">
        <v>24</v>
      </c>
      <c r="E1684" s="284" t="s">
        <v>25</v>
      </c>
      <c r="F1684" s="284" t="s">
        <v>26</v>
      </c>
      <c r="G1684" s="284" t="s">
        <v>31</v>
      </c>
      <c r="H1684" s="284" t="s">
        <v>27</v>
      </c>
      <c r="I1684" s="284" t="s">
        <v>28</v>
      </c>
      <c r="J1684" s="284" t="s">
        <v>29</v>
      </c>
    </row>
    <row r="1685" spans="1:11">
      <c r="A1685" s="285" t="s">
        <v>55</v>
      </c>
      <c r="B1685" s="273">
        <f>SUMPRODUCT($C1666:$E1666,$B1675:$D1675)</f>
        <v>1.3282160307030606</v>
      </c>
      <c r="C1685" s="273">
        <f>SUMPRODUCT($G1666:$I1666,$B1675:$D1675)</f>
        <v>1.3417420231829063</v>
      </c>
      <c r="D1685" s="273">
        <f>SUMPRODUCT($K1666:$M1666,$B1675:$D1675)</f>
        <v>1.3417420231829063</v>
      </c>
      <c r="E1685" s="273">
        <f>SUMPRODUCT($O1666:$Q1666,$B1675:$D1675)</f>
        <v>1.2937171324505337</v>
      </c>
      <c r="F1685" s="273">
        <f>SUMPRODUCT($S1666:$U1666,$B1675:$D1675)</f>
        <v>1.2937171324505337</v>
      </c>
      <c r="G1685" s="273">
        <f>SUMPRODUCT($W1666:$Y1666,$B1675:$D1675)</f>
        <v>1.3417420231829063</v>
      </c>
      <c r="H1685" s="273">
        <f>SUMPRODUCT($AA1666:$AC1666,$B1675:$D1675)</f>
        <v>1.2937171324505337</v>
      </c>
      <c r="I1685" s="273">
        <f>SUMPRODUCT($AE1666:$AG1666,$B1675:$D1675)</f>
        <v>1.2937171324505337</v>
      </c>
      <c r="J1685" s="273">
        <f>SUMPRODUCT($AI1666:$AK1666,$B1675:$D1675)</f>
        <v>1.2937171324505337</v>
      </c>
      <c r="K1685" s="265"/>
    </row>
    <row r="1686" spans="1:11">
      <c r="A1686" s="285" t="s">
        <v>57</v>
      </c>
      <c r="B1686" s="273">
        <f>SUMPRODUCT($C1667:$E1667,$B1676:$D1676)</f>
        <v>1.3726222953582843</v>
      </c>
      <c r="C1686" s="273">
        <f>SUMPRODUCT($G1667:$I1667,$B1676:$D1676)</f>
        <v>1.3968666209574303</v>
      </c>
      <c r="D1686" s="273">
        <f>SUMPRODUCT($K1667:$M1667,$B1676:$D1676)</f>
        <v>1.3968666209574303</v>
      </c>
      <c r="E1686" s="273">
        <f>SUMPRODUCT($O1667:$Q1667,$B1676:$D1676)</f>
        <v>1.4572968821590073</v>
      </c>
      <c r="F1686" s="273">
        <f>SUMPRODUCT($S1667:$U1667,$B1676:$D1676)</f>
        <v>1.4572968821590073</v>
      </c>
      <c r="G1686" s="273">
        <f>SUMPRODUCT($W1667:$Y1667,$B1676:$D1676)</f>
        <v>1.3968666209574303</v>
      </c>
      <c r="H1686" s="273">
        <f>SUMPRODUCT($AA1667:$AC1667,$B1676:$D1676)</f>
        <v>1.4572968821590073</v>
      </c>
      <c r="I1686" s="273">
        <f>SUMPRODUCT($AE1667:$AG1667,$B1676:$D1676)</f>
        <v>1.4572968821590073</v>
      </c>
      <c r="J1686" s="273">
        <f>SUMPRODUCT($AI1667:$AK1667,$B1676:$D1676)</f>
        <v>1.4572968821590073</v>
      </c>
      <c r="K1686" s="265"/>
    </row>
    <row r="1688" spans="1:11" ht="21" customHeight="1">
      <c r="A1688" s="1" t="s">
        <v>1273</v>
      </c>
    </row>
    <row r="1689" spans="1:11">
      <c r="A1689" s="264" t="s">
        <v>217</v>
      </c>
    </row>
    <row r="1690" spans="1:11">
      <c r="A1690" s="269" t="s">
        <v>429</v>
      </c>
    </row>
    <row r="1691" spans="1:11">
      <c r="A1691" s="264" t="s">
        <v>584</v>
      </c>
    </row>
    <row r="1693" spans="1:11" ht="30">
      <c r="B1693" s="284" t="s">
        <v>1232</v>
      </c>
    </row>
    <row r="1694" spans="1:11">
      <c r="A1694" s="285" t="s">
        <v>91</v>
      </c>
      <c r="B1694" s="275">
        <f>B$1431</f>
        <v>45959.708361578618</v>
      </c>
      <c r="C1694" s="265"/>
    </row>
    <row r="1695" spans="1:11">
      <c r="A1695" s="285" t="s">
        <v>92</v>
      </c>
      <c r="B1695" s="275">
        <f>B$1434</f>
        <v>17319.819478475714</v>
      </c>
      <c r="C1695" s="265"/>
    </row>
    <row r="1697" spans="1:38" ht="21" customHeight="1">
      <c r="A1697" s="1" t="s">
        <v>1225</v>
      </c>
    </row>
    <row r="1698" spans="1:38">
      <c r="A1698" s="264" t="s">
        <v>217</v>
      </c>
    </row>
    <row r="1699" spans="1:38">
      <c r="A1699" s="269" t="s">
        <v>1224</v>
      </c>
    </row>
    <row r="1700" spans="1:38">
      <c r="A1700" s="264" t="s">
        <v>584</v>
      </c>
    </row>
    <row r="1702" spans="1:38">
      <c r="B1702" s="288" t="s">
        <v>22</v>
      </c>
      <c r="C1702" s="284" t="s">
        <v>195</v>
      </c>
      <c r="D1702" s="284" t="s">
        <v>196</v>
      </c>
      <c r="E1702" s="284" t="s">
        <v>197</v>
      </c>
      <c r="F1702" s="288" t="s">
        <v>23</v>
      </c>
      <c r="G1702" s="284" t="s">
        <v>195</v>
      </c>
      <c r="H1702" s="284" t="s">
        <v>196</v>
      </c>
      <c r="I1702" s="284" t="s">
        <v>197</v>
      </c>
      <c r="J1702" s="288" t="s">
        <v>24</v>
      </c>
      <c r="K1702" s="284" t="s">
        <v>195</v>
      </c>
      <c r="L1702" s="284" t="s">
        <v>196</v>
      </c>
      <c r="M1702" s="284" t="s">
        <v>197</v>
      </c>
      <c r="N1702" s="288" t="s">
        <v>25</v>
      </c>
      <c r="O1702" s="284" t="s">
        <v>195</v>
      </c>
      <c r="P1702" s="284" t="s">
        <v>196</v>
      </c>
      <c r="Q1702" s="284" t="s">
        <v>197</v>
      </c>
      <c r="R1702" s="288" t="s">
        <v>26</v>
      </c>
      <c r="S1702" s="284" t="s">
        <v>195</v>
      </c>
      <c r="T1702" s="284" t="s">
        <v>196</v>
      </c>
      <c r="U1702" s="284" t="s">
        <v>197</v>
      </c>
      <c r="V1702" s="288" t="s">
        <v>31</v>
      </c>
      <c r="W1702" s="284" t="s">
        <v>195</v>
      </c>
      <c r="X1702" s="284" t="s">
        <v>196</v>
      </c>
      <c r="Y1702" s="284" t="s">
        <v>197</v>
      </c>
      <c r="Z1702" s="288" t="s">
        <v>27</v>
      </c>
      <c r="AA1702" s="284" t="s">
        <v>195</v>
      </c>
      <c r="AB1702" s="284" t="s">
        <v>196</v>
      </c>
      <c r="AC1702" s="284" t="s">
        <v>197</v>
      </c>
      <c r="AD1702" s="288" t="s">
        <v>28</v>
      </c>
      <c r="AE1702" s="284" t="s">
        <v>195</v>
      </c>
      <c r="AF1702" s="284" t="s">
        <v>196</v>
      </c>
      <c r="AG1702" s="284" t="s">
        <v>197</v>
      </c>
      <c r="AH1702" s="288" t="s">
        <v>29</v>
      </c>
      <c r="AI1702" s="284" t="s">
        <v>195</v>
      </c>
      <c r="AJ1702" s="284" t="s">
        <v>196</v>
      </c>
      <c r="AK1702" s="284" t="s">
        <v>197</v>
      </c>
    </row>
    <row r="1703" spans="1:38">
      <c r="A1703" s="285" t="s">
        <v>91</v>
      </c>
      <c r="C1703" s="274">
        <f>C$1595</f>
        <v>16.7816091954023</v>
      </c>
      <c r="D1703" s="274">
        <f>D$1595</f>
        <v>0</v>
      </c>
      <c r="E1703" s="274">
        <f>E$1595</f>
        <v>0</v>
      </c>
      <c r="G1703" s="274">
        <f>G$1595</f>
        <v>14.167359303817252</v>
      </c>
      <c r="H1703" s="274">
        <f>H$1595</f>
        <v>0.22929555766162066</v>
      </c>
      <c r="I1703" s="274">
        <f>I$1595</f>
        <v>0.11993002561968572</v>
      </c>
      <c r="K1703" s="274">
        <f>K$1595</f>
        <v>14.167359303817252</v>
      </c>
      <c r="L1703" s="274">
        <f>L$1595</f>
        <v>0.22929555766162066</v>
      </c>
      <c r="M1703" s="274">
        <f>M$1595</f>
        <v>0.11993002561968572</v>
      </c>
      <c r="O1703" s="274">
        <f>O$1595</f>
        <v>10.113700767456972</v>
      </c>
      <c r="P1703" s="274">
        <f>P$1595</f>
        <v>0.78888657208638369</v>
      </c>
      <c r="Q1703" s="274">
        <f>Q$1595</f>
        <v>0.15930806114350346</v>
      </c>
      <c r="S1703" s="274">
        <f>S$1595</f>
        <v>10.113700767456972</v>
      </c>
      <c r="T1703" s="274">
        <f>T$1595</f>
        <v>0.78888657208638369</v>
      </c>
      <c r="U1703" s="274">
        <f>U$1595</f>
        <v>0.15930806114350346</v>
      </c>
      <c r="W1703" s="274">
        <f>W$1595</f>
        <v>14.167359303817252</v>
      </c>
      <c r="X1703" s="274">
        <f>X$1595</f>
        <v>0.22929555766162066</v>
      </c>
      <c r="Y1703" s="274">
        <f>Y$1595</f>
        <v>0.11993002561968572</v>
      </c>
      <c r="AA1703" s="274">
        <f>AA$1595</f>
        <v>10.113700767456972</v>
      </c>
      <c r="AB1703" s="274">
        <f>AB$1595</f>
        <v>0.78888657208638369</v>
      </c>
      <c r="AC1703" s="274">
        <f>AC$1595</f>
        <v>0.15930806114350346</v>
      </c>
      <c r="AE1703" s="274">
        <f>AE$1595</f>
        <v>10.113700767456972</v>
      </c>
      <c r="AF1703" s="274">
        <f>AF$1595</f>
        <v>0.78888657208638369</v>
      </c>
      <c r="AG1703" s="274">
        <f>AG$1595</f>
        <v>0.15930806114350346</v>
      </c>
      <c r="AI1703" s="274">
        <f>AI$1595</f>
        <v>10.113700767456972</v>
      </c>
      <c r="AJ1703" s="274">
        <f>AJ$1595</f>
        <v>0.78888657208638369</v>
      </c>
      <c r="AK1703" s="274">
        <f>AK$1595</f>
        <v>0.15930806114350346</v>
      </c>
      <c r="AL1703" s="265"/>
    </row>
    <row r="1704" spans="1:38">
      <c r="A1704" s="285" t="s">
        <v>92</v>
      </c>
      <c r="C1704" s="274">
        <f>C$1598</f>
        <v>16.7816091954023</v>
      </c>
      <c r="D1704" s="274">
        <f>D$1598</f>
        <v>0</v>
      </c>
      <c r="E1704" s="274">
        <f>E$1598</f>
        <v>0</v>
      </c>
      <c r="G1704" s="274">
        <f>G$1598</f>
        <v>14.167359303817252</v>
      </c>
      <c r="H1704" s="274">
        <f>H$1598</f>
        <v>0.22929555766162066</v>
      </c>
      <c r="I1704" s="274">
        <f>I$1598</f>
        <v>0.11993002561968572</v>
      </c>
      <c r="K1704" s="274">
        <f>K$1598</f>
        <v>14.167359303817252</v>
      </c>
      <c r="L1704" s="274">
        <f>L$1598</f>
        <v>0.22929555766162066</v>
      </c>
      <c r="M1704" s="274">
        <f>M$1598</f>
        <v>0.11993002561968572</v>
      </c>
      <c r="O1704" s="274">
        <f>O$1598</f>
        <v>10.113700767456972</v>
      </c>
      <c r="P1704" s="274">
        <f>P$1598</f>
        <v>0.78888657208638369</v>
      </c>
      <c r="Q1704" s="274">
        <f>Q$1598</f>
        <v>0.15930806114350346</v>
      </c>
      <c r="S1704" s="274">
        <f>S$1598</f>
        <v>10.113700767456972</v>
      </c>
      <c r="T1704" s="274">
        <f>T$1598</f>
        <v>0.78888657208638369</v>
      </c>
      <c r="U1704" s="274">
        <f>U$1598</f>
        <v>0.15930806114350346</v>
      </c>
      <c r="W1704" s="274">
        <f>W$1598</f>
        <v>14.167359303817252</v>
      </c>
      <c r="X1704" s="274">
        <f>X$1598</f>
        <v>0.22929555766162066</v>
      </c>
      <c r="Y1704" s="274">
        <f>Y$1598</f>
        <v>0.11993002561968572</v>
      </c>
      <c r="AA1704" s="274">
        <f>AA$1598</f>
        <v>10.113700767456972</v>
      </c>
      <c r="AB1704" s="274">
        <f>AB$1598</f>
        <v>0.78888657208638369</v>
      </c>
      <c r="AC1704" s="274">
        <f>AC$1598</f>
        <v>0.15930806114350346</v>
      </c>
      <c r="AE1704" s="274">
        <f>AE$1598</f>
        <v>10.113700767456972</v>
      </c>
      <c r="AF1704" s="274">
        <f>AF$1598</f>
        <v>0.78888657208638369</v>
      </c>
      <c r="AG1704" s="274">
        <f>AG$1598</f>
        <v>0.15930806114350346</v>
      </c>
      <c r="AI1704" s="274">
        <f>AI$1598</f>
        <v>10.113700767456972</v>
      </c>
      <c r="AJ1704" s="274">
        <f>AJ$1598</f>
        <v>0.78888657208638369</v>
      </c>
      <c r="AK1704" s="274">
        <f>AK$1598</f>
        <v>0.15930806114350346</v>
      </c>
      <c r="AL1704" s="265"/>
    </row>
    <row r="1706" spans="1:38" ht="21" customHeight="1">
      <c r="A1706" s="1" t="s">
        <v>1274</v>
      </c>
    </row>
    <row r="1707" spans="1:38">
      <c r="A1707" s="264" t="s">
        <v>217</v>
      </c>
    </row>
    <row r="1708" spans="1:38">
      <c r="A1708" s="269" t="s">
        <v>1230</v>
      </c>
    </row>
    <row r="1709" spans="1:38">
      <c r="A1709" s="264" t="s">
        <v>584</v>
      </c>
    </row>
    <row r="1711" spans="1:38">
      <c r="B1711" s="284" t="s">
        <v>195</v>
      </c>
      <c r="C1711" s="284" t="s">
        <v>196</v>
      </c>
      <c r="D1711" s="284" t="s">
        <v>197</v>
      </c>
    </row>
    <row r="1712" spans="1:38">
      <c r="A1712" s="285" t="s">
        <v>91</v>
      </c>
      <c r="B1712" s="289">
        <f>B$1346</f>
        <v>1.3467452839655742E-3</v>
      </c>
      <c r="C1712" s="289">
        <f>C$1346</f>
        <v>0.10870547020102579</v>
      </c>
      <c r="D1712" s="289">
        <f>D$1346</f>
        <v>0.88994778451500867</v>
      </c>
      <c r="E1712" s="265"/>
    </row>
    <row r="1713" spans="1:11">
      <c r="A1713" s="285" t="s">
        <v>92</v>
      </c>
      <c r="B1713" s="289">
        <f>B$1349</f>
        <v>2.1108855935806684E-3</v>
      </c>
      <c r="C1713" s="289">
        <f>C$1349</f>
        <v>0.11802654892647897</v>
      </c>
      <c r="D1713" s="289">
        <f>D$1349</f>
        <v>0.87986256547994035</v>
      </c>
      <c r="E1713" s="265"/>
    </row>
    <row r="1715" spans="1:11" ht="21" customHeight="1">
      <c r="A1715" s="1" t="s">
        <v>1275</v>
      </c>
    </row>
    <row r="1716" spans="1:11">
      <c r="A1716" s="264" t="s">
        <v>217</v>
      </c>
    </row>
    <row r="1717" spans="1:11">
      <c r="A1717" s="269" t="s">
        <v>1216</v>
      </c>
    </row>
    <row r="1718" spans="1:11">
      <c r="A1718" s="269" t="s">
        <v>1276</v>
      </c>
    </row>
    <row r="1719" spans="1:11">
      <c r="A1719" s="264" t="s">
        <v>230</v>
      </c>
    </row>
    <row r="1721" spans="1:11">
      <c r="B1721" s="284" t="s">
        <v>22</v>
      </c>
      <c r="C1721" s="284" t="s">
        <v>23</v>
      </c>
      <c r="D1721" s="284" t="s">
        <v>24</v>
      </c>
      <c r="E1721" s="284" t="s">
        <v>25</v>
      </c>
      <c r="F1721" s="284" t="s">
        <v>26</v>
      </c>
      <c r="G1721" s="284" t="s">
        <v>31</v>
      </c>
      <c r="H1721" s="284" t="s">
        <v>27</v>
      </c>
      <c r="I1721" s="284" t="s">
        <v>28</v>
      </c>
      <c r="J1721" s="284" t="s">
        <v>29</v>
      </c>
    </row>
    <row r="1722" spans="1:11">
      <c r="A1722" s="285" t="s">
        <v>91</v>
      </c>
      <c r="B1722" s="273">
        <f>SUMPRODUCT($C1703:$E1703,$B1712:$D1712)</f>
        <v>2.2600553041261361E-2</v>
      </c>
      <c r="C1722" s="273">
        <f>SUMPRODUCT($G1703:$I1703,$B1712:$D1712)</f>
        <v>0.15073696633634212</v>
      </c>
      <c r="D1722" s="273">
        <f>SUMPRODUCT($K1703:$M1703,$B1712:$D1712)</f>
        <v>0.15073696633634212</v>
      </c>
      <c r="E1722" s="273">
        <f>SUMPRODUCT($O1703:$Q1703,$B1712:$D1712)</f>
        <v>0.24115272063597992</v>
      </c>
      <c r="F1722" s="273">
        <f>SUMPRODUCT($S1703:$U1703,$B1712:$D1712)</f>
        <v>0.24115272063597992</v>
      </c>
      <c r="G1722" s="273">
        <f>SUMPRODUCT($W1703:$Y1703,$B1712:$D1712)</f>
        <v>0.15073696633634212</v>
      </c>
      <c r="H1722" s="273">
        <f>SUMPRODUCT($AA1703:$AC1703,$B1712:$D1712)</f>
        <v>0.24115272063597992</v>
      </c>
      <c r="I1722" s="273">
        <f>SUMPRODUCT($AE1703:$AG1703,$B1712:$D1712)</f>
        <v>0.24115272063597992</v>
      </c>
      <c r="J1722" s="273">
        <f>SUMPRODUCT($AI1703:$AK1703,$B1712:$D1712)</f>
        <v>0.24115272063597992</v>
      </c>
      <c r="K1722" s="265"/>
    </row>
    <row r="1723" spans="1:11">
      <c r="A1723" s="285" t="s">
        <v>92</v>
      </c>
      <c r="B1723" s="273">
        <f>SUMPRODUCT($C1704:$E1704,$B1713:$D1713)</f>
        <v>3.5424057087675584E-2</v>
      </c>
      <c r="C1723" s="273">
        <f>SUMPRODUCT($G1704:$I1704,$B1713:$D1713)</f>
        <v>0.16249057802829409</v>
      </c>
      <c r="D1723" s="273">
        <f>SUMPRODUCT($K1704:$M1704,$B1713:$D1713)</f>
        <v>0.16249057802829409</v>
      </c>
      <c r="E1723" s="273">
        <f>SUMPRODUCT($O1704:$Q1704,$B1713:$D1713)</f>
        <v>0.25462762422496465</v>
      </c>
      <c r="F1723" s="273">
        <f>SUMPRODUCT($S1704:$U1704,$B1713:$D1713)</f>
        <v>0.25462762422496465</v>
      </c>
      <c r="G1723" s="273">
        <f>SUMPRODUCT($W1704:$Y1704,$B1713:$D1713)</f>
        <v>0.16249057802829409</v>
      </c>
      <c r="H1723" s="273">
        <f>SUMPRODUCT($AA1704:$AC1704,$B1713:$D1713)</f>
        <v>0.25462762422496465</v>
      </c>
      <c r="I1723" s="273">
        <f>SUMPRODUCT($AE1704:$AG1704,$B1713:$D1713)</f>
        <v>0.25462762422496465</v>
      </c>
      <c r="J1723" s="273">
        <f>SUMPRODUCT($AI1704:$AK1704,$B1713:$D1713)</f>
        <v>0.25462762422496465</v>
      </c>
      <c r="K1723" s="265"/>
    </row>
    <row r="1725" spans="1:11" ht="21" customHeight="1">
      <c r="A1725" s="1" t="s">
        <v>1277</v>
      </c>
    </row>
    <row r="1726" spans="1:11">
      <c r="A1726" s="264" t="s">
        <v>217</v>
      </c>
    </row>
    <row r="1727" spans="1:11">
      <c r="A1727" s="269" t="s">
        <v>429</v>
      </c>
    </row>
    <row r="1728" spans="1:11">
      <c r="A1728" s="264" t="s">
        <v>584</v>
      </c>
    </row>
    <row r="1730" spans="1:38" ht="30">
      <c r="B1730" s="284" t="s">
        <v>1221</v>
      </c>
    </row>
    <row r="1731" spans="1:38">
      <c r="A1731" s="285" t="s">
        <v>1178</v>
      </c>
      <c r="B1731" s="275">
        <f>B$1438</f>
        <v>0.1309337540173347</v>
      </c>
      <c r="C1731" s="265"/>
    </row>
    <row r="1732" spans="1:38">
      <c r="A1732" s="285" t="s">
        <v>1177</v>
      </c>
      <c r="B1732" s="275">
        <f>B$1439</f>
        <v>414077.674080636</v>
      </c>
      <c r="C1732" s="265"/>
    </row>
    <row r="1734" spans="1:38" ht="21" customHeight="1">
      <c r="A1734" s="1" t="s">
        <v>1278</v>
      </c>
    </row>
    <row r="1735" spans="1:38">
      <c r="A1735" s="264" t="s">
        <v>217</v>
      </c>
    </row>
    <row r="1736" spans="1:38">
      <c r="A1736" s="269" t="s">
        <v>1224</v>
      </c>
    </row>
    <row r="1737" spans="1:38">
      <c r="A1737" s="264" t="s">
        <v>584</v>
      </c>
    </row>
    <row r="1739" spans="1:38">
      <c r="B1739" s="288" t="s">
        <v>22</v>
      </c>
      <c r="C1739" s="284" t="s">
        <v>195</v>
      </c>
      <c r="D1739" s="284" t="s">
        <v>196</v>
      </c>
      <c r="E1739" s="284" t="s">
        <v>197</v>
      </c>
      <c r="F1739" s="288" t="s">
        <v>23</v>
      </c>
      <c r="G1739" s="284" t="s">
        <v>195</v>
      </c>
      <c r="H1739" s="284" t="s">
        <v>196</v>
      </c>
      <c r="I1739" s="284" t="s">
        <v>197</v>
      </c>
      <c r="J1739" s="288" t="s">
        <v>24</v>
      </c>
      <c r="K1739" s="284" t="s">
        <v>195</v>
      </c>
      <c r="L1739" s="284" t="s">
        <v>196</v>
      </c>
      <c r="M1739" s="284" t="s">
        <v>197</v>
      </c>
      <c r="N1739" s="288" t="s">
        <v>25</v>
      </c>
      <c r="O1739" s="284" t="s">
        <v>195</v>
      </c>
      <c r="P1739" s="284" t="s">
        <v>196</v>
      </c>
      <c r="Q1739" s="284" t="s">
        <v>197</v>
      </c>
      <c r="R1739" s="288" t="s">
        <v>26</v>
      </c>
      <c r="S1739" s="284" t="s">
        <v>195</v>
      </c>
      <c r="T1739" s="284" t="s">
        <v>196</v>
      </c>
      <c r="U1739" s="284" t="s">
        <v>197</v>
      </c>
      <c r="V1739" s="288" t="s">
        <v>31</v>
      </c>
      <c r="W1739" s="284" t="s">
        <v>195</v>
      </c>
      <c r="X1739" s="284" t="s">
        <v>196</v>
      </c>
      <c r="Y1739" s="284" t="s">
        <v>197</v>
      </c>
      <c r="Z1739" s="288" t="s">
        <v>27</v>
      </c>
      <c r="AA1739" s="284" t="s">
        <v>195</v>
      </c>
      <c r="AB1739" s="284" t="s">
        <v>196</v>
      </c>
      <c r="AC1739" s="284" t="s">
        <v>197</v>
      </c>
      <c r="AD1739" s="288" t="s">
        <v>28</v>
      </c>
      <c r="AE1739" s="284" t="s">
        <v>195</v>
      </c>
      <c r="AF1739" s="284" t="s">
        <v>196</v>
      </c>
      <c r="AG1739" s="284" t="s">
        <v>197</v>
      </c>
      <c r="AH1739" s="288" t="s">
        <v>29</v>
      </c>
      <c r="AI1739" s="284" t="s">
        <v>195</v>
      </c>
      <c r="AJ1739" s="284" t="s">
        <v>196</v>
      </c>
      <c r="AK1739" s="284" t="s">
        <v>197</v>
      </c>
    </row>
    <row r="1740" spans="1:38">
      <c r="A1740" s="285" t="s">
        <v>1178</v>
      </c>
      <c r="C1740" s="274">
        <f>C$1602</f>
        <v>12.58315045032916</v>
      </c>
      <c r="D1740" s="274">
        <f>D$1602</f>
        <v>0</v>
      </c>
      <c r="E1740" s="274">
        <f>E$1602</f>
        <v>0</v>
      </c>
      <c r="G1740" s="274">
        <f>G$1602</f>
        <v>10.622939166801963</v>
      </c>
      <c r="H1740" s="274">
        <f>H$1602</f>
        <v>0.17192990648589174</v>
      </c>
      <c r="I1740" s="274">
        <f>I$1602</f>
        <v>8.9925676275299474E-2</v>
      </c>
      <c r="K1740" s="274">
        <f>K$1602</f>
        <v>10.622939166801963</v>
      </c>
      <c r="L1740" s="274">
        <f>L$1602</f>
        <v>0.17192990648589174</v>
      </c>
      <c r="M1740" s="274">
        <f>M$1602</f>
        <v>8.9925676275299474E-2</v>
      </c>
      <c r="O1740" s="274">
        <f>O$1602</f>
        <v>7.5834335601967746</v>
      </c>
      <c r="P1740" s="274">
        <f>P$1602</f>
        <v>0.59152124860153721</v>
      </c>
      <c r="Q1740" s="274">
        <f>Q$1602</f>
        <v>0.11945203096900538</v>
      </c>
      <c r="S1740" s="274">
        <f>S$1602</f>
        <v>7.5834335601967746</v>
      </c>
      <c r="T1740" s="274">
        <f>T$1602</f>
        <v>0.59152124860153721</v>
      </c>
      <c r="U1740" s="274">
        <f>U$1602</f>
        <v>0.11945203096900538</v>
      </c>
      <c r="W1740" s="274">
        <f>W$1602</f>
        <v>10.622939166801963</v>
      </c>
      <c r="X1740" s="274">
        <f>X$1602</f>
        <v>0.17192990648589174</v>
      </c>
      <c r="Y1740" s="274">
        <f>Y$1602</f>
        <v>8.9925676275299474E-2</v>
      </c>
      <c r="AA1740" s="274">
        <f>AA$1602</f>
        <v>7.5834335601967746</v>
      </c>
      <c r="AB1740" s="274">
        <f>AB$1602</f>
        <v>0.59152124860153721</v>
      </c>
      <c r="AC1740" s="274">
        <f>AC$1602</f>
        <v>0.11945203096900538</v>
      </c>
      <c r="AE1740" s="274">
        <f>AE$1602</f>
        <v>7.5834335601967746</v>
      </c>
      <c r="AF1740" s="274">
        <f>AF$1602</f>
        <v>0.59152124860153721</v>
      </c>
      <c r="AG1740" s="274">
        <f>AG$1602</f>
        <v>0.11945203096900538</v>
      </c>
      <c r="AI1740" s="274">
        <f>AI$1602</f>
        <v>7.5834335601967746</v>
      </c>
      <c r="AJ1740" s="274">
        <f>AJ$1602</f>
        <v>0.59152124860153721</v>
      </c>
      <c r="AK1740" s="274">
        <f>AK$1602</f>
        <v>0.11945203096900538</v>
      </c>
      <c r="AL1740" s="265"/>
    </row>
    <row r="1741" spans="1:38">
      <c r="A1741" s="285" t="s">
        <v>1177</v>
      </c>
      <c r="C1741" s="274">
        <f>C$1603</f>
        <v>24.535124028294963</v>
      </c>
      <c r="D1741" s="274">
        <f>D$1603</f>
        <v>0</v>
      </c>
      <c r="E1741" s="274">
        <f>E$1603</f>
        <v>0</v>
      </c>
      <c r="G1741" s="274">
        <f>G$1603</f>
        <v>20.713026601036994</v>
      </c>
      <c r="H1741" s="274">
        <f>H$1603</f>
        <v>0.33523572625599196</v>
      </c>
      <c r="I1741" s="274">
        <f>I$1603</f>
        <v>0.17534063742240794</v>
      </c>
      <c r="K1741" s="274">
        <f>K$1603</f>
        <v>20.713026601036994</v>
      </c>
      <c r="L1741" s="274">
        <f>L$1603</f>
        <v>0.33523572625599196</v>
      </c>
      <c r="M1741" s="274">
        <f>M$1603</f>
        <v>0.17534063742240794</v>
      </c>
      <c r="O1741" s="274">
        <f>O$1603</f>
        <v>14.78647844943276</v>
      </c>
      <c r="P1741" s="274">
        <f>P$1603</f>
        <v>1.1533715071674258</v>
      </c>
      <c r="Q1741" s="274">
        <f>Q$1603</f>
        <v>0.23291229067197655</v>
      </c>
      <c r="S1741" s="274">
        <f>S$1603</f>
        <v>14.78647844943276</v>
      </c>
      <c r="T1741" s="274">
        <f>T$1603</f>
        <v>1.1533715071674258</v>
      </c>
      <c r="U1741" s="274">
        <f>U$1603</f>
        <v>0.23291229067197655</v>
      </c>
      <c r="W1741" s="274">
        <f>W$1603</f>
        <v>20.713026601036994</v>
      </c>
      <c r="X1741" s="274">
        <f>X$1603</f>
        <v>0.33523572625599196</v>
      </c>
      <c r="Y1741" s="274">
        <f>Y$1603</f>
        <v>0.17534063742240794</v>
      </c>
      <c r="AA1741" s="274">
        <f>AA$1603</f>
        <v>14.78647844943276</v>
      </c>
      <c r="AB1741" s="274">
        <f>AB$1603</f>
        <v>1.1533715071674258</v>
      </c>
      <c r="AC1741" s="274">
        <f>AC$1603</f>
        <v>0.23291229067197655</v>
      </c>
      <c r="AE1741" s="274">
        <f>AE$1603</f>
        <v>14.78647844943276</v>
      </c>
      <c r="AF1741" s="274">
        <f>AF$1603</f>
        <v>1.1533715071674258</v>
      </c>
      <c r="AG1741" s="274">
        <f>AG$1603</f>
        <v>0.23291229067197655</v>
      </c>
      <c r="AI1741" s="274">
        <f>AI$1603</f>
        <v>14.78647844943276</v>
      </c>
      <c r="AJ1741" s="274">
        <f>AJ$1603</f>
        <v>1.1533715071674258</v>
      </c>
      <c r="AK1741" s="274">
        <f>AK$1603</f>
        <v>0.23291229067197655</v>
      </c>
      <c r="AL1741" s="265"/>
    </row>
    <row r="1743" spans="1:38" ht="21" customHeight="1">
      <c r="A1743" s="1" t="s">
        <v>1279</v>
      </c>
    </row>
    <row r="1744" spans="1:38">
      <c r="A1744" s="264" t="s">
        <v>217</v>
      </c>
    </row>
    <row r="1745" spans="1:11">
      <c r="A1745" s="269" t="s">
        <v>1220</v>
      </c>
    </row>
    <row r="1746" spans="1:11">
      <c r="A1746" s="264" t="s">
        <v>584</v>
      </c>
    </row>
    <row r="1748" spans="1:11">
      <c r="B1748" s="284" t="s">
        <v>195</v>
      </c>
      <c r="C1748" s="284" t="s">
        <v>196</v>
      </c>
      <c r="D1748" s="284" t="s">
        <v>197</v>
      </c>
    </row>
    <row r="1749" spans="1:11">
      <c r="A1749" s="285" t="s">
        <v>1178</v>
      </c>
      <c r="B1749" s="289">
        <f>B$1517</f>
        <v>0.16831719612952512</v>
      </c>
      <c r="C1749" s="289">
        <f>C$1517</f>
        <v>0.42772153315961503</v>
      </c>
      <c r="D1749" s="289">
        <f>D$1517</f>
        <v>0.40396127071086002</v>
      </c>
      <c r="E1749" s="265"/>
    </row>
    <row r="1750" spans="1:11">
      <c r="A1750" s="285" t="s">
        <v>1177</v>
      </c>
      <c r="B1750" s="289">
        <f>B$1518</f>
        <v>6.4943057205413629E-2</v>
      </c>
      <c r="C1750" s="289">
        <f>C$1518</f>
        <v>0.48041251875979823</v>
      </c>
      <c r="D1750" s="289">
        <f>D$1518</f>
        <v>0.45464442403478805</v>
      </c>
      <c r="E1750" s="265"/>
    </row>
    <row r="1752" spans="1:11" ht="21" customHeight="1">
      <c r="A1752" s="1" t="s">
        <v>1280</v>
      </c>
    </row>
    <row r="1753" spans="1:11">
      <c r="A1753" s="264" t="s">
        <v>217</v>
      </c>
    </row>
    <row r="1754" spans="1:11">
      <c r="A1754" s="269" t="s">
        <v>1281</v>
      </c>
    </row>
    <row r="1755" spans="1:11">
      <c r="A1755" s="269" t="s">
        <v>1282</v>
      </c>
    </row>
    <row r="1756" spans="1:11">
      <c r="A1756" s="264" t="s">
        <v>230</v>
      </c>
    </row>
    <row r="1758" spans="1:11">
      <c r="B1758" s="284" t="s">
        <v>22</v>
      </c>
      <c r="C1758" s="284" t="s">
        <v>23</v>
      </c>
      <c r="D1758" s="284" t="s">
        <v>24</v>
      </c>
      <c r="E1758" s="284" t="s">
        <v>25</v>
      </c>
      <c r="F1758" s="284" t="s">
        <v>26</v>
      </c>
      <c r="G1758" s="284" t="s">
        <v>31</v>
      </c>
      <c r="H1758" s="284" t="s">
        <v>27</v>
      </c>
      <c r="I1758" s="284" t="s">
        <v>28</v>
      </c>
      <c r="J1758" s="284" t="s">
        <v>29</v>
      </c>
    </row>
    <row r="1759" spans="1:11">
      <c r="A1759" s="285" t="s">
        <v>1178</v>
      </c>
      <c r="B1759" s="273">
        <f>SUMPRODUCT($C1740:$E1740,$B1749:$D1749)</f>
        <v>2.1179606022753754</v>
      </c>
      <c r="C1759" s="273">
        <f>SUMPRODUCT($G1740:$I1740,$B1749:$D1749)</f>
        <v>1.8978879488664584</v>
      </c>
      <c r="D1759" s="273">
        <f>SUMPRODUCT($K1740:$M1740,$B1749:$D1749)</f>
        <v>1.8978879488664584</v>
      </c>
      <c r="E1759" s="273">
        <f>SUMPRODUCT($O1740:$Q1740,$B1749:$D1749)</f>
        <v>1.5776826434544351</v>
      </c>
      <c r="F1759" s="273">
        <f>SUMPRODUCT($S1740:$U1740,$B1749:$D1749)</f>
        <v>1.5776826434544351</v>
      </c>
      <c r="G1759" s="273">
        <f>SUMPRODUCT($W1740:$Y1740,$B1749:$D1749)</f>
        <v>1.8978879488664584</v>
      </c>
      <c r="H1759" s="273">
        <f>SUMPRODUCT($AA1740:$AC1740,$B1749:$D1749)</f>
        <v>1.5776826434544351</v>
      </c>
      <c r="I1759" s="273">
        <f>SUMPRODUCT($AE1740:$AG1740,$B1749:$D1749)</f>
        <v>1.5776826434544351</v>
      </c>
      <c r="J1759" s="273">
        <f>SUMPRODUCT($AI1740:$AK1740,$B1749:$D1749)</f>
        <v>1.5776826434544351</v>
      </c>
      <c r="K1759" s="265"/>
    </row>
    <row r="1760" spans="1:11">
      <c r="A1760" s="285" t="s">
        <v>1177</v>
      </c>
      <c r="B1760" s="273">
        <f>SUMPRODUCT($C1741:$E1741,$B1750:$D1750)</f>
        <v>1.5933859633114782</v>
      </c>
      <c r="C1760" s="273">
        <f>SUMPRODUCT($G1741:$I1741,$B1750:$D1750)</f>
        <v>1.5859363541881144</v>
      </c>
      <c r="D1760" s="273">
        <f>SUMPRODUCT($K1741:$M1741,$B1750:$D1750)</f>
        <v>1.5859363541881144</v>
      </c>
      <c r="E1760" s="273">
        <f>SUMPRODUCT($O1741:$Q1741,$B1750:$D1750)</f>
        <v>1.620265500875399</v>
      </c>
      <c r="F1760" s="273">
        <f>SUMPRODUCT($S1741:$U1741,$B1750:$D1750)</f>
        <v>1.620265500875399</v>
      </c>
      <c r="G1760" s="273">
        <f>SUMPRODUCT($W1741:$Y1741,$B1750:$D1750)</f>
        <v>1.5859363541881144</v>
      </c>
      <c r="H1760" s="273">
        <f>SUMPRODUCT($AA1741:$AC1741,$B1750:$D1750)</f>
        <v>1.620265500875399</v>
      </c>
      <c r="I1760" s="273">
        <f>SUMPRODUCT($AE1741:$AG1741,$B1750:$D1750)</f>
        <v>1.620265500875399</v>
      </c>
      <c r="J1760" s="273">
        <f>SUMPRODUCT($AI1741:$AK1741,$B1750:$D1750)</f>
        <v>1.620265500875399</v>
      </c>
      <c r="K1760" s="265"/>
    </row>
    <row r="1762" spans="1:11" ht="21" customHeight="1">
      <c r="A1762" s="1" t="s">
        <v>1283</v>
      </c>
    </row>
    <row r="1763" spans="1:11">
      <c r="A1763" s="264" t="s">
        <v>217</v>
      </c>
    </row>
    <row r="1764" spans="1:11">
      <c r="A1764" s="269" t="s">
        <v>1284</v>
      </c>
    </row>
    <row r="1765" spans="1:11">
      <c r="A1765" s="269" t="s">
        <v>1285</v>
      </c>
    </row>
    <row r="1766" spans="1:11">
      <c r="A1766" s="269" t="s">
        <v>1286</v>
      </c>
    </row>
    <row r="1767" spans="1:11">
      <c r="A1767" s="269" t="s">
        <v>1287</v>
      </c>
    </row>
    <row r="1768" spans="1:11">
      <c r="A1768" s="269" t="s">
        <v>1288</v>
      </c>
    </row>
    <row r="1769" spans="1:11">
      <c r="A1769" s="269" t="s">
        <v>1289</v>
      </c>
    </row>
    <row r="1770" spans="1:11">
      <c r="A1770" s="264" t="s">
        <v>1222</v>
      </c>
    </row>
    <row r="1772" spans="1:11">
      <c r="B1772" s="284" t="s">
        <v>22</v>
      </c>
      <c r="C1772" s="284" t="s">
        <v>23</v>
      </c>
      <c r="D1772" s="284" t="s">
        <v>24</v>
      </c>
      <c r="E1772" s="284" t="s">
        <v>25</v>
      </c>
      <c r="F1772" s="284" t="s">
        <v>26</v>
      </c>
      <c r="G1772" s="284" t="s">
        <v>31</v>
      </c>
      <c r="H1772" s="284" t="s">
        <v>27</v>
      </c>
      <c r="I1772" s="284" t="s">
        <v>28</v>
      </c>
      <c r="J1772" s="284" t="s">
        <v>29</v>
      </c>
    </row>
    <row r="1773" spans="1:11">
      <c r="A1773" s="285" t="s">
        <v>1218</v>
      </c>
      <c r="B1773" s="273">
        <f t="shared" ref="B1773:J1774" si="104">($B1629*B1648+$B1657*B1685+$B1694*B1722)/($B1629+$B1657+$B1694)</f>
        <v>1.9796009178114129</v>
      </c>
      <c r="C1773" s="273">
        <f t="shared" si="104"/>
        <v>1.9023184142336436</v>
      </c>
      <c r="D1773" s="273">
        <f t="shared" si="104"/>
        <v>1.9023184142336436</v>
      </c>
      <c r="E1773" s="273">
        <f t="shared" si="104"/>
        <v>1.7982610209068521</v>
      </c>
      <c r="F1773" s="273">
        <f t="shared" si="104"/>
        <v>1.7982610209068521</v>
      </c>
      <c r="G1773" s="273">
        <f t="shared" si="104"/>
        <v>1.9023184142336436</v>
      </c>
      <c r="H1773" s="273">
        <f t="shared" si="104"/>
        <v>1.7982610209068521</v>
      </c>
      <c r="I1773" s="273">
        <f t="shared" si="104"/>
        <v>1.7982610209068521</v>
      </c>
      <c r="J1773" s="273">
        <f t="shared" si="104"/>
        <v>1.7982610209068521</v>
      </c>
      <c r="K1773" s="265"/>
    </row>
    <row r="1774" spans="1:11">
      <c r="A1774" s="285" t="s">
        <v>1217</v>
      </c>
      <c r="B1774" s="273">
        <f t="shared" si="104"/>
        <v>1.5263096866142047</v>
      </c>
      <c r="C1774" s="273">
        <f t="shared" si="104"/>
        <v>1.5463335780378171</v>
      </c>
      <c r="D1774" s="273">
        <f t="shared" si="104"/>
        <v>1.5463335780378171</v>
      </c>
      <c r="E1774" s="273">
        <f t="shared" si="104"/>
        <v>1.6464962083801</v>
      </c>
      <c r="F1774" s="273">
        <f t="shared" si="104"/>
        <v>1.6464962083801</v>
      </c>
      <c r="G1774" s="273">
        <f t="shared" si="104"/>
        <v>1.5463335780378171</v>
      </c>
      <c r="H1774" s="273">
        <f t="shared" si="104"/>
        <v>1.6464962083801</v>
      </c>
      <c r="I1774" s="273">
        <f t="shared" si="104"/>
        <v>1.6464962083801</v>
      </c>
      <c r="J1774" s="273">
        <f t="shared" si="104"/>
        <v>1.6464962083801</v>
      </c>
      <c r="K1774" s="265"/>
    </row>
    <row r="1776" spans="1:11" ht="21" customHeight="1">
      <c r="A1776" s="1" t="s">
        <v>1290</v>
      </c>
    </row>
    <row r="1777" spans="1:5">
      <c r="A1777" s="264" t="s">
        <v>217</v>
      </c>
    </row>
    <row r="1778" spans="1:5">
      <c r="A1778" s="269" t="s">
        <v>1284</v>
      </c>
    </row>
    <row r="1779" spans="1:5">
      <c r="A1779" s="269" t="s">
        <v>1268</v>
      </c>
    </row>
    <row r="1780" spans="1:5">
      <c r="A1780" s="269" t="s">
        <v>1286</v>
      </c>
    </row>
    <row r="1781" spans="1:5">
      <c r="A1781" s="269" t="s">
        <v>1226</v>
      </c>
    </row>
    <row r="1782" spans="1:5">
      <c r="A1782" s="269" t="s">
        <v>1288</v>
      </c>
    </row>
    <row r="1783" spans="1:5">
      <c r="A1783" s="269" t="s">
        <v>1291</v>
      </c>
    </row>
    <row r="1784" spans="1:5">
      <c r="A1784" s="264" t="s">
        <v>1222</v>
      </c>
    </row>
    <row r="1786" spans="1:5">
      <c r="B1786" s="284" t="s">
        <v>195</v>
      </c>
      <c r="C1786" s="284" t="s">
        <v>196</v>
      </c>
      <c r="D1786" s="284" t="s">
        <v>197</v>
      </c>
    </row>
    <row r="1787" spans="1:5">
      <c r="A1787" s="285" t="s">
        <v>1178</v>
      </c>
      <c r="B1787" s="289">
        <f t="shared" ref="B1787:D1788" si="105">($B1629*B1638+$B1657*B1675+$B1694*B1712)/($B1629+$B1657+$B1694)</f>
        <v>7.9612547995225227E-2</v>
      </c>
      <c r="C1787" s="289">
        <f t="shared" si="105"/>
        <v>0.41587337149576453</v>
      </c>
      <c r="D1787" s="289">
        <f t="shared" si="105"/>
        <v>0.50451408050901037</v>
      </c>
      <c r="E1787" s="265"/>
    </row>
    <row r="1788" spans="1:5">
      <c r="A1788" s="285" t="s">
        <v>1177</v>
      </c>
      <c r="B1788" s="289">
        <f t="shared" si="105"/>
        <v>5.9688340195971849E-2</v>
      </c>
      <c r="C1788" s="289">
        <f t="shared" si="105"/>
        <v>0.52032505069264423</v>
      </c>
      <c r="D1788" s="289">
        <f t="shared" si="105"/>
        <v>0.41998660911138402</v>
      </c>
      <c r="E1788" s="265"/>
    </row>
    <row r="1790" spans="1:5" ht="21" customHeight="1">
      <c r="A1790" s="1" t="s">
        <v>1292</v>
      </c>
    </row>
    <row r="1791" spans="1:5">
      <c r="A1791" s="264" t="s">
        <v>217</v>
      </c>
    </row>
    <row r="1792" spans="1:5">
      <c r="A1792" s="269" t="s">
        <v>1281</v>
      </c>
    </row>
    <row r="1793" spans="1:11">
      <c r="A1793" s="269" t="s">
        <v>1293</v>
      </c>
    </row>
    <row r="1794" spans="1:11">
      <c r="A1794" s="264" t="s">
        <v>230</v>
      </c>
    </row>
    <row r="1796" spans="1:11">
      <c r="B1796" s="284" t="s">
        <v>22</v>
      </c>
      <c r="C1796" s="284" t="s">
        <v>23</v>
      </c>
      <c r="D1796" s="284" t="s">
        <v>24</v>
      </c>
      <c r="E1796" s="284" t="s">
        <v>25</v>
      </c>
      <c r="F1796" s="284" t="s">
        <v>26</v>
      </c>
      <c r="G1796" s="284" t="s">
        <v>31</v>
      </c>
      <c r="H1796" s="284" t="s">
        <v>27</v>
      </c>
      <c r="I1796" s="284" t="s">
        <v>28</v>
      </c>
      <c r="J1796" s="284" t="s">
        <v>29</v>
      </c>
    </row>
    <row r="1797" spans="1:11">
      <c r="A1797" s="285" t="s">
        <v>1178</v>
      </c>
      <c r="B1797" s="273">
        <f>SUMPRODUCT($C1740:$E1740,$B1787:$D1787)</f>
        <v>1.0017766691579701</v>
      </c>
      <c r="C1797" s="273">
        <f>SUMPRODUCT($G1740:$I1740,$B1787:$D1787)</f>
        <v>0.9625890940188021</v>
      </c>
      <c r="D1797" s="273">
        <f>SUMPRODUCT($K1740:$M1740,$B1787:$D1787)</f>
        <v>0.9625890940188021</v>
      </c>
      <c r="E1797" s="273">
        <f>SUMPRODUCT($O1740:$Q1740,$B1787:$D1787)</f>
        <v>0.90999963581633458</v>
      </c>
      <c r="F1797" s="273">
        <f>SUMPRODUCT($S1740:$U1740,$B1787:$D1787)</f>
        <v>0.90999963581633458</v>
      </c>
      <c r="G1797" s="273">
        <f>SUMPRODUCT($W1740:$Y1740,$B1787:$D1787)</f>
        <v>0.9625890940188021</v>
      </c>
      <c r="H1797" s="273">
        <f>SUMPRODUCT($AA1740:$AC1740,$B1787:$D1787)</f>
        <v>0.90999963581633458</v>
      </c>
      <c r="I1797" s="273">
        <f>SUMPRODUCT($AE1740:$AG1740,$B1787:$D1787)</f>
        <v>0.90999963581633458</v>
      </c>
      <c r="J1797" s="273">
        <f>SUMPRODUCT($AI1740:$AK1740,$B1787:$D1787)</f>
        <v>0.90999963581633458</v>
      </c>
      <c r="K1797" s="265"/>
    </row>
    <row r="1798" spans="1:11">
      <c r="A1798" s="285" t="s">
        <v>1177</v>
      </c>
      <c r="B1798" s="273">
        <f>SUMPRODUCT($C1741:$E1741,$B1788:$D1788)</f>
        <v>1.4644608297512329</v>
      </c>
      <c r="C1798" s="273">
        <f>SUMPRODUCT($G1741:$I1741,$B1788:$D1788)</f>
        <v>1.4843984442595108</v>
      </c>
      <c r="D1798" s="273">
        <f>SUMPRODUCT($K1741:$M1741,$B1788:$D1788)</f>
        <v>1.4843984442595108</v>
      </c>
      <c r="E1798" s="273">
        <f>SUMPRODUCT($O1741:$Q1741,$B1788:$D1788)</f>
        <v>1.5805284871041796</v>
      </c>
      <c r="F1798" s="273">
        <f>SUMPRODUCT($S1741:$U1741,$B1788:$D1788)</f>
        <v>1.5805284871041796</v>
      </c>
      <c r="G1798" s="273">
        <f>SUMPRODUCT($W1741:$Y1741,$B1788:$D1788)</f>
        <v>1.4843984442595108</v>
      </c>
      <c r="H1798" s="273">
        <f>SUMPRODUCT($AA1741:$AC1741,$B1788:$D1788)</f>
        <v>1.5805284871041796</v>
      </c>
      <c r="I1798" s="273">
        <f>SUMPRODUCT($AE1741:$AG1741,$B1788:$D1788)</f>
        <v>1.5805284871041796</v>
      </c>
      <c r="J1798" s="273">
        <f>SUMPRODUCT($AI1741:$AK1741,$B1788:$D1788)</f>
        <v>1.5805284871041796</v>
      </c>
      <c r="K1798" s="265"/>
    </row>
    <row r="1800" spans="1:11" ht="21" customHeight="1">
      <c r="A1800" s="1" t="s">
        <v>1294</v>
      </c>
    </row>
    <row r="1801" spans="1:11">
      <c r="A1801" s="264" t="s">
        <v>217</v>
      </c>
    </row>
    <row r="1802" spans="1:11">
      <c r="A1802" s="269" t="s">
        <v>1295</v>
      </c>
    </row>
    <row r="1803" spans="1:11">
      <c r="A1803" s="269" t="s">
        <v>1296</v>
      </c>
    </row>
    <row r="1804" spans="1:11">
      <c r="A1804" s="264" t="s">
        <v>294</v>
      </c>
    </row>
    <row r="1806" spans="1:11">
      <c r="B1806" s="284" t="s">
        <v>22</v>
      </c>
      <c r="C1806" s="284" t="s">
        <v>23</v>
      </c>
      <c r="D1806" s="284" t="s">
        <v>24</v>
      </c>
      <c r="E1806" s="284" t="s">
        <v>25</v>
      </c>
      <c r="F1806" s="284" t="s">
        <v>26</v>
      </c>
      <c r="G1806" s="284" t="s">
        <v>31</v>
      </c>
      <c r="H1806" s="284" t="s">
        <v>27</v>
      </c>
      <c r="I1806" s="284" t="s">
        <v>28</v>
      </c>
      <c r="J1806" s="284" t="s">
        <v>29</v>
      </c>
    </row>
    <row r="1807" spans="1:11">
      <c r="A1807" s="285" t="s">
        <v>1218</v>
      </c>
      <c r="B1807" s="273">
        <f t="shared" ref="B1807:J1808" si="106">B1773/B1797</f>
        <v>1.9760900595492403</v>
      </c>
      <c r="C1807" s="273">
        <f t="shared" si="106"/>
        <v>1.9762517839169347</v>
      </c>
      <c r="D1807" s="273">
        <f t="shared" si="106"/>
        <v>1.9762517839169347</v>
      </c>
      <c r="E1807" s="273">
        <f t="shared" si="106"/>
        <v>1.9761118028291118</v>
      </c>
      <c r="F1807" s="273">
        <f t="shared" si="106"/>
        <v>1.9761118028291118</v>
      </c>
      <c r="G1807" s="273">
        <f t="shared" si="106"/>
        <v>1.9762517839169347</v>
      </c>
      <c r="H1807" s="273">
        <f t="shared" si="106"/>
        <v>1.9761118028291118</v>
      </c>
      <c r="I1807" s="273">
        <f t="shared" si="106"/>
        <v>1.9761118028291118</v>
      </c>
      <c r="J1807" s="273">
        <f t="shared" si="106"/>
        <v>1.9761118028291118</v>
      </c>
      <c r="K1807" s="265"/>
    </row>
    <row r="1808" spans="1:11">
      <c r="A1808" s="285" t="s">
        <v>1217</v>
      </c>
      <c r="B1808" s="273">
        <f t="shared" si="106"/>
        <v>1.0422331929994182</v>
      </c>
      <c r="C1808" s="273">
        <f t="shared" si="106"/>
        <v>1.0417240627122879</v>
      </c>
      <c r="D1808" s="273">
        <f t="shared" si="106"/>
        <v>1.0417240627122879</v>
      </c>
      <c r="E1808" s="273">
        <f t="shared" si="106"/>
        <v>1.0417377616500829</v>
      </c>
      <c r="F1808" s="273">
        <f t="shared" si="106"/>
        <v>1.0417377616500829</v>
      </c>
      <c r="G1808" s="273">
        <f t="shared" si="106"/>
        <v>1.0417240627122879</v>
      </c>
      <c r="H1808" s="273">
        <f t="shared" si="106"/>
        <v>1.0417377616500829</v>
      </c>
      <c r="I1808" s="273">
        <f t="shared" si="106"/>
        <v>1.0417377616500829</v>
      </c>
      <c r="J1808" s="273">
        <f t="shared" si="106"/>
        <v>1.0417377616500829</v>
      </c>
      <c r="K1808" s="265"/>
    </row>
    <row r="1810" spans="1:11" ht="21" customHeight="1">
      <c r="A1810" s="1" t="s">
        <v>1297</v>
      </c>
    </row>
    <row r="1811" spans="1:11">
      <c r="A1811" s="264" t="s">
        <v>217</v>
      </c>
    </row>
    <row r="1812" spans="1:11">
      <c r="A1812" s="269" t="s">
        <v>1284</v>
      </c>
    </row>
    <row r="1813" spans="1:11">
      <c r="A1813" s="269" t="s">
        <v>1285</v>
      </c>
    </row>
    <row r="1814" spans="1:11">
      <c r="A1814" s="269" t="s">
        <v>1286</v>
      </c>
    </row>
    <row r="1815" spans="1:11">
      <c r="A1815" s="269" t="s">
        <v>1287</v>
      </c>
    </row>
    <row r="1816" spans="1:11">
      <c r="A1816" s="269" t="s">
        <v>1288</v>
      </c>
    </row>
    <row r="1817" spans="1:11">
      <c r="A1817" s="269" t="s">
        <v>1289</v>
      </c>
    </row>
    <row r="1818" spans="1:11">
      <c r="A1818" s="269" t="s">
        <v>1298</v>
      </c>
    </row>
    <row r="1819" spans="1:11">
      <c r="A1819" s="269" t="s">
        <v>1299</v>
      </c>
    </row>
    <row r="1820" spans="1:11">
      <c r="A1820" s="269" t="s">
        <v>1300</v>
      </c>
    </row>
    <row r="1821" spans="1:11">
      <c r="A1821" s="264" t="s">
        <v>1219</v>
      </c>
    </row>
    <row r="1823" spans="1:11">
      <c r="B1823" s="284" t="s">
        <v>22</v>
      </c>
      <c r="C1823" s="284" t="s">
        <v>23</v>
      </c>
      <c r="D1823" s="284" t="s">
        <v>24</v>
      </c>
      <c r="E1823" s="284" t="s">
        <v>25</v>
      </c>
      <c r="F1823" s="284" t="s">
        <v>26</v>
      </c>
      <c r="G1823" s="284" t="s">
        <v>31</v>
      </c>
      <c r="H1823" s="284" t="s">
        <v>27</v>
      </c>
      <c r="I1823" s="284" t="s">
        <v>28</v>
      </c>
      <c r="J1823" s="284" t="s">
        <v>29</v>
      </c>
    </row>
    <row r="1824" spans="1:11">
      <c r="A1824" s="285" t="s">
        <v>1218</v>
      </c>
      <c r="B1824" s="273">
        <f t="shared" ref="B1824:J1825" si="107">($B1629*B1648+$B1657*B1685+$B1694*B1722+$B1731*B1759)/($B1629*B1648+$B1657*B1685+$B1694*B1722+$B1731*B1759*B1807)</f>
        <v>0.99999997580081457</v>
      </c>
      <c r="C1824" s="273">
        <f t="shared" si="107"/>
        <v>0.99999997743060998</v>
      </c>
      <c r="D1824" s="273">
        <f t="shared" si="107"/>
        <v>0.99999997743060998</v>
      </c>
      <c r="E1824" s="273">
        <f t="shared" si="107"/>
        <v>0.9999999801556394</v>
      </c>
      <c r="F1824" s="273">
        <f t="shared" si="107"/>
        <v>0.9999999801556394</v>
      </c>
      <c r="G1824" s="273">
        <f t="shared" si="107"/>
        <v>0.99999997743060998</v>
      </c>
      <c r="H1824" s="273">
        <f t="shared" si="107"/>
        <v>0.9999999801556394</v>
      </c>
      <c r="I1824" s="273">
        <f t="shared" si="107"/>
        <v>0.9999999801556394</v>
      </c>
      <c r="J1824" s="273">
        <f t="shared" si="107"/>
        <v>0.9999999801556394</v>
      </c>
      <c r="K1824" s="265"/>
    </row>
    <row r="1825" spans="1:38">
      <c r="A1825" s="285" t="s">
        <v>1217</v>
      </c>
      <c r="B1825" s="273">
        <f t="shared" si="107"/>
        <v>0.99180834711344001</v>
      </c>
      <c r="C1825" s="273">
        <f t="shared" si="107"/>
        <v>0.99202013559539282</v>
      </c>
      <c r="D1825" s="273">
        <f t="shared" si="107"/>
        <v>0.99202013559539282</v>
      </c>
      <c r="E1825" s="273">
        <f t="shared" si="107"/>
        <v>0.99227855158493494</v>
      </c>
      <c r="F1825" s="273">
        <f t="shared" si="107"/>
        <v>0.99227855158493494</v>
      </c>
      <c r="G1825" s="273">
        <f t="shared" si="107"/>
        <v>0.99202013559539282</v>
      </c>
      <c r="H1825" s="273">
        <f t="shared" si="107"/>
        <v>0.99227855158493494</v>
      </c>
      <c r="I1825" s="273">
        <f t="shared" si="107"/>
        <v>0.99227855158493494</v>
      </c>
      <c r="J1825" s="273">
        <f t="shared" si="107"/>
        <v>0.99227855158493494</v>
      </c>
      <c r="K1825" s="265"/>
    </row>
    <row r="1827" spans="1:38" ht="21" customHeight="1">
      <c r="A1827" s="1" t="s">
        <v>1301</v>
      </c>
    </row>
    <row r="1828" spans="1:38">
      <c r="A1828" s="264" t="s">
        <v>217</v>
      </c>
    </row>
    <row r="1829" spans="1:38">
      <c r="A1829" s="269" t="s">
        <v>1267</v>
      </c>
    </row>
    <row r="1830" spans="1:38">
      <c r="A1830" s="269" t="s">
        <v>1302</v>
      </c>
    </row>
    <row r="1831" spans="1:38">
      <c r="A1831" s="264" t="s">
        <v>540</v>
      </c>
    </row>
    <row r="1833" spans="1:38">
      <c r="B1833" s="288" t="s">
        <v>22</v>
      </c>
      <c r="C1833" s="284" t="s">
        <v>195</v>
      </c>
      <c r="D1833" s="284" t="s">
        <v>196</v>
      </c>
      <c r="E1833" s="284" t="s">
        <v>197</v>
      </c>
      <c r="F1833" s="288" t="s">
        <v>23</v>
      </c>
      <c r="G1833" s="284" t="s">
        <v>195</v>
      </c>
      <c r="H1833" s="284" t="s">
        <v>196</v>
      </c>
      <c r="I1833" s="284" t="s">
        <v>197</v>
      </c>
      <c r="J1833" s="288" t="s">
        <v>24</v>
      </c>
      <c r="K1833" s="284" t="s">
        <v>195</v>
      </c>
      <c r="L1833" s="284" t="s">
        <v>196</v>
      </c>
      <c r="M1833" s="284" t="s">
        <v>197</v>
      </c>
      <c r="N1833" s="288" t="s">
        <v>25</v>
      </c>
      <c r="O1833" s="284" t="s">
        <v>195</v>
      </c>
      <c r="P1833" s="284" t="s">
        <v>196</v>
      </c>
      <c r="Q1833" s="284" t="s">
        <v>197</v>
      </c>
      <c r="R1833" s="288" t="s">
        <v>26</v>
      </c>
      <c r="S1833" s="284" t="s">
        <v>195</v>
      </c>
      <c r="T1833" s="284" t="s">
        <v>196</v>
      </c>
      <c r="U1833" s="284" t="s">
        <v>197</v>
      </c>
      <c r="V1833" s="288" t="s">
        <v>31</v>
      </c>
      <c r="W1833" s="284" t="s">
        <v>195</v>
      </c>
      <c r="X1833" s="284" t="s">
        <v>196</v>
      </c>
      <c r="Y1833" s="284" t="s">
        <v>197</v>
      </c>
      <c r="Z1833" s="288" t="s">
        <v>27</v>
      </c>
      <c r="AA1833" s="284" t="s">
        <v>195</v>
      </c>
      <c r="AB1833" s="284" t="s">
        <v>196</v>
      </c>
      <c r="AC1833" s="284" t="s">
        <v>197</v>
      </c>
      <c r="AD1833" s="288" t="s">
        <v>28</v>
      </c>
      <c r="AE1833" s="284" t="s">
        <v>195</v>
      </c>
      <c r="AF1833" s="284" t="s">
        <v>196</v>
      </c>
      <c r="AG1833" s="284" t="s">
        <v>197</v>
      </c>
      <c r="AH1833" s="288" t="s">
        <v>29</v>
      </c>
      <c r="AI1833" s="284" t="s">
        <v>195</v>
      </c>
      <c r="AJ1833" s="284" t="s">
        <v>196</v>
      </c>
      <c r="AK1833" s="284" t="s">
        <v>197</v>
      </c>
    </row>
    <row r="1834" spans="1:38">
      <c r="A1834" s="285" t="s">
        <v>54</v>
      </c>
      <c r="C1834" s="273">
        <f t="shared" ref="C1834:E1835" si="108">C1620*$B1824</f>
        <v>24.700696395036278</v>
      </c>
      <c r="D1834" s="273">
        <f t="shared" si="108"/>
        <v>0</v>
      </c>
      <c r="E1834" s="273">
        <f t="shared" si="108"/>
        <v>0</v>
      </c>
      <c r="G1834" s="273">
        <f t="shared" ref="G1834:I1835" si="109">G1620*$C1824</f>
        <v>20.852806031807368</v>
      </c>
      <c r="H1834" s="273">
        <f t="shared" si="109"/>
        <v>0.33749802523781286</v>
      </c>
      <c r="I1834" s="273">
        <f t="shared" si="109"/>
        <v>0.17652390314990871</v>
      </c>
      <c r="K1834" s="273">
        <f t="shared" ref="K1834:M1835" si="110">K1620*$D1824</f>
        <v>20.852806031807368</v>
      </c>
      <c r="L1834" s="273">
        <f t="shared" si="110"/>
        <v>0.33749802523781286</v>
      </c>
      <c r="M1834" s="273">
        <f t="shared" si="110"/>
        <v>0.17652390314990871</v>
      </c>
      <c r="O1834" s="273">
        <f t="shared" ref="O1834:Q1835" si="111">O1620*$E1824</f>
        <v>14.886263305639677</v>
      </c>
      <c r="P1834" s="273">
        <f t="shared" si="111"/>
        <v>1.1611549026790371</v>
      </c>
      <c r="Q1834" s="273">
        <f t="shared" si="111"/>
        <v>0.23448407258834067</v>
      </c>
      <c r="S1834" s="273">
        <f t="shared" ref="S1834:U1835" si="112">S1620*$F1824</f>
        <v>14.886263305639677</v>
      </c>
      <c r="T1834" s="273">
        <f t="shared" si="112"/>
        <v>1.1611549026790371</v>
      </c>
      <c r="U1834" s="273">
        <f t="shared" si="112"/>
        <v>0.23448407258834067</v>
      </c>
      <c r="W1834" s="273">
        <f t="shared" ref="W1834:Y1835" si="113">W1620*$G1824</f>
        <v>20.852806031807368</v>
      </c>
      <c r="X1834" s="273">
        <f t="shared" si="113"/>
        <v>0.33749802523781286</v>
      </c>
      <c r="Y1834" s="273">
        <f t="shared" si="113"/>
        <v>0.17652390314990871</v>
      </c>
      <c r="AA1834" s="273">
        <f t="shared" ref="AA1834:AC1835" si="114">AA1620*$H1824</f>
        <v>14.886263305639677</v>
      </c>
      <c r="AB1834" s="273">
        <f t="shared" si="114"/>
        <v>1.1611549026790371</v>
      </c>
      <c r="AC1834" s="273">
        <f t="shared" si="114"/>
        <v>0.23448407258834067</v>
      </c>
      <c r="AE1834" s="273">
        <f t="shared" ref="AE1834:AG1835" si="115">AE1620*$I1824</f>
        <v>14.886263305639677</v>
      </c>
      <c r="AF1834" s="273">
        <f t="shared" si="115"/>
        <v>1.1611549026790371</v>
      </c>
      <c r="AG1834" s="273">
        <f t="shared" si="115"/>
        <v>0.23448407258834067</v>
      </c>
      <c r="AI1834" s="273">
        <f t="shared" ref="AI1834:AK1835" si="116">AI1620*$J1824</f>
        <v>14.886263305639677</v>
      </c>
      <c r="AJ1834" s="273">
        <f t="shared" si="116"/>
        <v>1.1611549026790371</v>
      </c>
      <c r="AK1834" s="273">
        <f t="shared" si="116"/>
        <v>0.23448407258834067</v>
      </c>
      <c r="AL1834" s="265"/>
    </row>
    <row r="1835" spans="1:38">
      <c r="A1835" s="285" t="s">
        <v>56</v>
      </c>
      <c r="C1835" s="273">
        <f t="shared" si="108"/>
        <v>25.710286928653233</v>
      </c>
      <c r="D1835" s="273">
        <f t="shared" si="108"/>
        <v>0</v>
      </c>
      <c r="E1835" s="273">
        <f t="shared" si="108"/>
        <v>0</v>
      </c>
      <c r="G1835" s="273">
        <f t="shared" si="109"/>
        <v>21.709756729700192</v>
      </c>
      <c r="H1835" s="273">
        <f t="shared" si="109"/>
        <v>0.35136758158547365</v>
      </c>
      <c r="I1835" s="273">
        <f t="shared" si="109"/>
        <v>0.18377819217788605</v>
      </c>
      <c r="K1835" s="273">
        <f t="shared" si="110"/>
        <v>21.709756729700192</v>
      </c>
      <c r="L1835" s="273">
        <f t="shared" si="110"/>
        <v>0.35136758158547365</v>
      </c>
      <c r="M1835" s="273">
        <f t="shared" si="110"/>
        <v>0.18377819217788605</v>
      </c>
      <c r="O1835" s="273">
        <f t="shared" si="111"/>
        <v>15.502054713518392</v>
      </c>
      <c r="P1835" s="273">
        <f t="shared" si="111"/>
        <v>1.2091877231125645</v>
      </c>
      <c r="Q1835" s="273">
        <f t="shared" si="111"/>
        <v>0.24418383902533533</v>
      </c>
      <c r="S1835" s="273">
        <f t="shared" si="112"/>
        <v>15.502054713518392</v>
      </c>
      <c r="T1835" s="273">
        <f t="shared" si="112"/>
        <v>1.2091877231125645</v>
      </c>
      <c r="U1835" s="273">
        <f t="shared" si="112"/>
        <v>0.24418383902533533</v>
      </c>
      <c r="W1835" s="273">
        <f t="shared" si="113"/>
        <v>21.709756729700192</v>
      </c>
      <c r="X1835" s="273">
        <f t="shared" si="113"/>
        <v>0.35136758158547365</v>
      </c>
      <c r="Y1835" s="273">
        <f t="shared" si="113"/>
        <v>0.18377819217788605</v>
      </c>
      <c r="AA1835" s="273">
        <f t="shared" si="114"/>
        <v>15.502054713518392</v>
      </c>
      <c r="AB1835" s="273">
        <f t="shared" si="114"/>
        <v>1.2091877231125645</v>
      </c>
      <c r="AC1835" s="273">
        <f t="shared" si="114"/>
        <v>0.24418383902533533</v>
      </c>
      <c r="AE1835" s="273">
        <f t="shared" si="115"/>
        <v>15.502054713518392</v>
      </c>
      <c r="AF1835" s="273">
        <f t="shared" si="115"/>
        <v>1.2091877231125645</v>
      </c>
      <c r="AG1835" s="273">
        <f t="shared" si="115"/>
        <v>0.24418383902533533</v>
      </c>
      <c r="AI1835" s="273">
        <f t="shared" si="116"/>
        <v>15.502054713518392</v>
      </c>
      <c r="AJ1835" s="273">
        <f t="shared" si="116"/>
        <v>1.2091877231125645</v>
      </c>
      <c r="AK1835" s="273">
        <f t="shared" si="116"/>
        <v>0.24418383902533533</v>
      </c>
      <c r="AL1835" s="265"/>
    </row>
    <row r="1837" spans="1:38" ht="21" customHeight="1">
      <c r="A1837" s="1" t="s">
        <v>1303</v>
      </c>
    </row>
    <row r="1838" spans="1:38">
      <c r="A1838" s="264" t="s">
        <v>217</v>
      </c>
    </row>
    <row r="1839" spans="1:38">
      <c r="A1839" s="269" t="s">
        <v>1272</v>
      </c>
    </row>
    <row r="1840" spans="1:38">
      <c r="A1840" s="269" t="s">
        <v>1302</v>
      </c>
    </row>
    <row r="1841" spans="1:38">
      <c r="A1841" s="264" t="s">
        <v>540</v>
      </c>
    </row>
    <row r="1843" spans="1:38">
      <c r="B1843" s="288" t="s">
        <v>22</v>
      </c>
      <c r="C1843" s="284" t="s">
        <v>195</v>
      </c>
      <c r="D1843" s="284" t="s">
        <v>196</v>
      </c>
      <c r="E1843" s="284" t="s">
        <v>197</v>
      </c>
      <c r="F1843" s="288" t="s">
        <v>23</v>
      </c>
      <c r="G1843" s="284" t="s">
        <v>195</v>
      </c>
      <c r="H1843" s="284" t="s">
        <v>196</v>
      </c>
      <c r="I1843" s="284" t="s">
        <v>197</v>
      </c>
      <c r="J1843" s="288" t="s">
        <v>24</v>
      </c>
      <c r="K1843" s="284" t="s">
        <v>195</v>
      </c>
      <c r="L1843" s="284" t="s">
        <v>196</v>
      </c>
      <c r="M1843" s="284" t="s">
        <v>197</v>
      </c>
      <c r="N1843" s="288" t="s">
        <v>25</v>
      </c>
      <c r="O1843" s="284" t="s">
        <v>195</v>
      </c>
      <c r="P1843" s="284" t="s">
        <v>196</v>
      </c>
      <c r="Q1843" s="284" t="s">
        <v>197</v>
      </c>
      <c r="R1843" s="288" t="s">
        <v>26</v>
      </c>
      <c r="S1843" s="284" t="s">
        <v>195</v>
      </c>
      <c r="T1843" s="284" t="s">
        <v>196</v>
      </c>
      <c r="U1843" s="284" t="s">
        <v>197</v>
      </c>
      <c r="V1843" s="288" t="s">
        <v>31</v>
      </c>
      <c r="W1843" s="284" t="s">
        <v>195</v>
      </c>
      <c r="X1843" s="284" t="s">
        <v>196</v>
      </c>
      <c r="Y1843" s="284" t="s">
        <v>197</v>
      </c>
      <c r="Z1843" s="288" t="s">
        <v>27</v>
      </c>
      <c r="AA1843" s="284" t="s">
        <v>195</v>
      </c>
      <c r="AB1843" s="284" t="s">
        <v>196</v>
      </c>
      <c r="AC1843" s="284" t="s">
        <v>197</v>
      </c>
      <c r="AD1843" s="288" t="s">
        <v>28</v>
      </c>
      <c r="AE1843" s="284" t="s">
        <v>195</v>
      </c>
      <c r="AF1843" s="284" t="s">
        <v>196</v>
      </c>
      <c r="AG1843" s="284" t="s">
        <v>197</v>
      </c>
      <c r="AH1843" s="288" t="s">
        <v>29</v>
      </c>
      <c r="AI1843" s="284" t="s">
        <v>195</v>
      </c>
      <c r="AJ1843" s="284" t="s">
        <v>196</v>
      </c>
      <c r="AK1843" s="284" t="s">
        <v>197</v>
      </c>
    </row>
    <row r="1844" spans="1:38">
      <c r="A1844" s="285" t="s">
        <v>55</v>
      </c>
      <c r="C1844" s="273">
        <f t="shared" ref="C1844:E1845" si="117">C1666*$B1824</f>
        <v>25.840126709410761</v>
      </c>
      <c r="D1844" s="273">
        <f t="shared" si="117"/>
        <v>0</v>
      </c>
      <c r="E1844" s="273">
        <f t="shared" si="117"/>
        <v>0</v>
      </c>
      <c r="G1844" s="273">
        <f t="shared" ref="G1844:I1845" si="118">G1666*$C1824</f>
        <v>21.81473515932732</v>
      </c>
      <c r="H1844" s="273">
        <f t="shared" si="118"/>
        <v>0.35306663410807798</v>
      </c>
      <c r="I1844" s="273">
        <f t="shared" si="118"/>
        <v>0.18466685925300586</v>
      </c>
      <c r="K1844" s="273">
        <f t="shared" ref="K1844:M1845" si="119">K1666*$D1824</f>
        <v>21.81473515932732</v>
      </c>
      <c r="L1844" s="273">
        <f t="shared" si="119"/>
        <v>0.35306663410807798</v>
      </c>
      <c r="M1844" s="273">
        <f t="shared" si="119"/>
        <v>0.18466685925300586</v>
      </c>
      <c r="O1844" s="273">
        <f t="shared" ref="O1844:Q1845" si="120">O1666*$E1824</f>
        <v>15.572958911582795</v>
      </c>
      <c r="P1844" s="273">
        <f t="shared" si="120"/>
        <v>1.2147183761389564</v>
      </c>
      <c r="Q1844" s="273">
        <f t="shared" si="120"/>
        <v>0.24530070124820441</v>
      </c>
      <c r="S1844" s="273">
        <f t="shared" ref="S1844:U1845" si="121">S1666*$F1824</f>
        <v>15.572958911582795</v>
      </c>
      <c r="T1844" s="273">
        <f t="shared" si="121"/>
        <v>1.2147183761389564</v>
      </c>
      <c r="U1844" s="273">
        <f t="shared" si="121"/>
        <v>0.24530070124820441</v>
      </c>
      <c r="W1844" s="273">
        <f t="shared" ref="W1844:Y1845" si="122">W1666*$G1824</f>
        <v>21.81473515932732</v>
      </c>
      <c r="X1844" s="273">
        <f t="shared" si="122"/>
        <v>0.35306663410807798</v>
      </c>
      <c r="Y1844" s="273">
        <f t="shared" si="122"/>
        <v>0.18466685925300586</v>
      </c>
      <c r="AA1844" s="273">
        <f t="shared" ref="AA1844:AC1845" si="123">AA1666*$H1824</f>
        <v>15.572958911582795</v>
      </c>
      <c r="AB1844" s="273">
        <f t="shared" si="123"/>
        <v>1.2147183761389564</v>
      </c>
      <c r="AC1844" s="273">
        <f t="shared" si="123"/>
        <v>0.24530070124820441</v>
      </c>
      <c r="AE1844" s="273">
        <f t="shared" ref="AE1844:AG1845" si="124">AE1666*$I1824</f>
        <v>15.572958911582795</v>
      </c>
      <c r="AF1844" s="273">
        <f t="shared" si="124"/>
        <v>1.2147183761389564</v>
      </c>
      <c r="AG1844" s="273">
        <f t="shared" si="124"/>
        <v>0.24530070124820441</v>
      </c>
      <c r="AI1844" s="273">
        <f t="shared" ref="AI1844:AK1845" si="125">AI1666*$J1824</f>
        <v>15.572958911582795</v>
      </c>
      <c r="AJ1844" s="273">
        <f t="shared" si="125"/>
        <v>1.2147183761389564</v>
      </c>
      <c r="AK1844" s="273">
        <f t="shared" si="125"/>
        <v>0.24530070124820441</v>
      </c>
      <c r="AL1844" s="265"/>
    </row>
    <row r="1845" spans="1:38">
      <c r="A1845" s="285" t="s">
        <v>57</v>
      </c>
      <c r="C1845" s="273">
        <f t="shared" si="117"/>
        <v>24.566402254032191</v>
      </c>
      <c r="D1845" s="273">
        <f t="shared" si="117"/>
        <v>0</v>
      </c>
      <c r="E1845" s="273">
        <f t="shared" si="117"/>
        <v>0</v>
      </c>
      <c r="G1845" s="273">
        <f t="shared" si="118"/>
        <v>20.743860935469321</v>
      </c>
      <c r="H1845" s="273">
        <f t="shared" si="118"/>
        <v>0.33573477309719685</v>
      </c>
      <c r="I1845" s="273">
        <f t="shared" si="118"/>
        <v>0.17560165730897484</v>
      </c>
      <c r="K1845" s="273">
        <f t="shared" si="119"/>
        <v>20.743860935469321</v>
      </c>
      <c r="L1845" s="273">
        <f t="shared" si="119"/>
        <v>0.33573477309719685</v>
      </c>
      <c r="M1845" s="273">
        <f t="shared" si="119"/>
        <v>0.17560165730897484</v>
      </c>
      <c r="O1845" s="273">
        <f t="shared" si="120"/>
        <v>14.812347793438544</v>
      </c>
      <c r="P1845" s="273">
        <f t="shared" si="120"/>
        <v>1.1553893618166866</v>
      </c>
      <c r="Q1845" s="273">
        <f t="shared" si="120"/>
        <v>0.23331977702453671</v>
      </c>
      <c r="S1845" s="273">
        <f t="shared" si="121"/>
        <v>14.812347793438544</v>
      </c>
      <c r="T1845" s="273">
        <f t="shared" si="121"/>
        <v>1.1553893618166866</v>
      </c>
      <c r="U1845" s="273">
        <f t="shared" si="121"/>
        <v>0.23331977702453671</v>
      </c>
      <c r="W1845" s="273">
        <f t="shared" si="122"/>
        <v>20.743860935469321</v>
      </c>
      <c r="X1845" s="273">
        <f t="shared" si="122"/>
        <v>0.33573477309719685</v>
      </c>
      <c r="Y1845" s="273">
        <f t="shared" si="122"/>
        <v>0.17560165730897484</v>
      </c>
      <c r="AA1845" s="273">
        <f t="shared" si="123"/>
        <v>14.812347793438544</v>
      </c>
      <c r="AB1845" s="273">
        <f t="shared" si="123"/>
        <v>1.1553893618166866</v>
      </c>
      <c r="AC1845" s="273">
        <f t="shared" si="123"/>
        <v>0.23331977702453671</v>
      </c>
      <c r="AE1845" s="273">
        <f t="shared" si="124"/>
        <v>14.812347793438544</v>
      </c>
      <c r="AF1845" s="273">
        <f t="shared" si="124"/>
        <v>1.1553893618166866</v>
      </c>
      <c r="AG1845" s="273">
        <f t="shared" si="124"/>
        <v>0.23331977702453671</v>
      </c>
      <c r="AI1845" s="273">
        <f t="shared" si="125"/>
        <v>14.812347793438544</v>
      </c>
      <c r="AJ1845" s="273">
        <f t="shared" si="125"/>
        <v>1.1553893618166866</v>
      </c>
      <c r="AK1845" s="273">
        <f t="shared" si="125"/>
        <v>0.23331977702453671</v>
      </c>
      <c r="AL1845" s="265"/>
    </row>
    <row r="1847" spans="1:38" ht="21" customHeight="1">
      <c r="A1847" s="1" t="s">
        <v>1304</v>
      </c>
    </row>
    <row r="1848" spans="1:38">
      <c r="A1848" s="264" t="s">
        <v>217</v>
      </c>
    </row>
    <row r="1849" spans="1:38">
      <c r="A1849" s="269" t="s">
        <v>1216</v>
      </c>
    </row>
    <row r="1850" spans="1:38">
      <c r="A1850" s="269" t="s">
        <v>1302</v>
      </c>
    </row>
    <row r="1851" spans="1:38">
      <c r="A1851" s="264" t="s">
        <v>540</v>
      </c>
    </row>
    <row r="1853" spans="1:38">
      <c r="B1853" s="288" t="s">
        <v>22</v>
      </c>
      <c r="C1853" s="284" t="s">
        <v>195</v>
      </c>
      <c r="D1853" s="284" t="s">
        <v>196</v>
      </c>
      <c r="E1853" s="284" t="s">
        <v>197</v>
      </c>
      <c r="F1853" s="288" t="s">
        <v>23</v>
      </c>
      <c r="G1853" s="284" t="s">
        <v>195</v>
      </c>
      <c r="H1853" s="284" t="s">
        <v>196</v>
      </c>
      <c r="I1853" s="284" t="s">
        <v>197</v>
      </c>
      <c r="J1853" s="288" t="s">
        <v>24</v>
      </c>
      <c r="K1853" s="284" t="s">
        <v>195</v>
      </c>
      <c r="L1853" s="284" t="s">
        <v>196</v>
      </c>
      <c r="M1853" s="284" t="s">
        <v>197</v>
      </c>
      <c r="N1853" s="288" t="s">
        <v>25</v>
      </c>
      <c r="O1853" s="284" t="s">
        <v>195</v>
      </c>
      <c r="P1853" s="284" t="s">
        <v>196</v>
      </c>
      <c r="Q1853" s="284" t="s">
        <v>197</v>
      </c>
      <c r="R1853" s="288" t="s">
        <v>26</v>
      </c>
      <c r="S1853" s="284" t="s">
        <v>195</v>
      </c>
      <c r="T1853" s="284" t="s">
        <v>196</v>
      </c>
      <c r="U1853" s="284" t="s">
        <v>197</v>
      </c>
      <c r="V1853" s="288" t="s">
        <v>31</v>
      </c>
      <c r="W1853" s="284" t="s">
        <v>195</v>
      </c>
      <c r="X1853" s="284" t="s">
        <v>196</v>
      </c>
      <c r="Y1853" s="284" t="s">
        <v>197</v>
      </c>
      <c r="Z1853" s="288" t="s">
        <v>27</v>
      </c>
      <c r="AA1853" s="284" t="s">
        <v>195</v>
      </c>
      <c r="AB1853" s="284" t="s">
        <v>196</v>
      </c>
      <c r="AC1853" s="284" t="s">
        <v>197</v>
      </c>
      <c r="AD1853" s="288" t="s">
        <v>28</v>
      </c>
      <c r="AE1853" s="284" t="s">
        <v>195</v>
      </c>
      <c r="AF1853" s="284" t="s">
        <v>196</v>
      </c>
      <c r="AG1853" s="284" t="s">
        <v>197</v>
      </c>
      <c r="AH1853" s="288" t="s">
        <v>29</v>
      </c>
      <c r="AI1853" s="284" t="s">
        <v>195</v>
      </c>
      <c r="AJ1853" s="284" t="s">
        <v>196</v>
      </c>
      <c r="AK1853" s="284" t="s">
        <v>197</v>
      </c>
    </row>
    <row r="1854" spans="1:38">
      <c r="A1854" s="285" t="s">
        <v>91</v>
      </c>
      <c r="C1854" s="273">
        <f t="shared" ref="C1854:E1855" si="126">C1703*$B1824</f>
        <v>16.781608789301028</v>
      </c>
      <c r="D1854" s="273">
        <f t="shared" si="126"/>
        <v>0</v>
      </c>
      <c r="E1854" s="273">
        <f t="shared" si="126"/>
        <v>0</v>
      </c>
      <c r="G1854" s="273">
        <f t="shared" ref="G1854:I1855" si="127">G1703*$C1824</f>
        <v>14.167358984068594</v>
      </c>
      <c r="H1854" s="273">
        <f t="shared" si="127"/>
        <v>0.22929555248655978</v>
      </c>
      <c r="I1854" s="273">
        <f t="shared" si="127"/>
        <v>0.11993002291293819</v>
      </c>
      <c r="K1854" s="273">
        <f t="shared" ref="K1854:M1855" si="128">K1703*$D1824</f>
        <v>14.167358984068594</v>
      </c>
      <c r="L1854" s="273">
        <f t="shared" si="128"/>
        <v>0.22929555248655978</v>
      </c>
      <c r="M1854" s="273">
        <f t="shared" si="128"/>
        <v>0.11993002291293819</v>
      </c>
      <c r="O1854" s="273">
        <f t="shared" ref="O1854:Q1855" si="129">O1703*$E1824</f>
        <v>10.113700566757048</v>
      </c>
      <c r="P1854" s="273">
        <f t="shared" si="129"/>
        <v>0.78888655643143413</v>
      </c>
      <c r="Q1854" s="273">
        <f t="shared" si="129"/>
        <v>0.15930805798213685</v>
      </c>
      <c r="S1854" s="273">
        <f t="shared" ref="S1854:U1855" si="130">S1703*$F1824</f>
        <v>10.113700566757048</v>
      </c>
      <c r="T1854" s="273">
        <f t="shared" si="130"/>
        <v>0.78888655643143413</v>
      </c>
      <c r="U1854" s="273">
        <f t="shared" si="130"/>
        <v>0.15930805798213685</v>
      </c>
      <c r="W1854" s="273">
        <f t="shared" ref="W1854:Y1855" si="131">W1703*$G1824</f>
        <v>14.167358984068594</v>
      </c>
      <c r="X1854" s="273">
        <f t="shared" si="131"/>
        <v>0.22929555248655978</v>
      </c>
      <c r="Y1854" s="273">
        <f t="shared" si="131"/>
        <v>0.11993002291293819</v>
      </c>
      <c r="AA1854" s="273">
        <f t="shared" ref="AA1854:AC1855" si="132">AA1703*$H1824</f>
        <v>10.113700566757048</v>
      </c>
      <c r="AB1854" s="273">
        <f t="shared" si="132"/>
        <v>0.78888655643143413</v>
      </c>
      <c r="AC1854" s="273">
        <f t="shared" si="132"/>
        <v>0.15930805798213685</v>
      </c>
      <c r="AE1854" s="273">
        <f t="shared" ref="AE1854:AG1855" si="133">AE1703*$I1824</f>
        <v>10.113700566757048</v>
      </c>
      <c r="AF1854" s="273">
        <f t="shared" si="133"/>
        <v>0.78888655643143413</v>
      </c>
      <c r="AG1854" s="273">
        <f t="shared" si="133"/>
        <v>0.15930805798213685</v>
      </c>
      <c r="AI1854" s="273">
        <f t="shared" ref="AI1854:AK1855" si="134">AI1703*$J1824</f>
        <v>10.113700566757048</v>
      </c>
      <c r="AJ1854" s="273">
        <f t="shared" si="134"/>
        <v>0.78888655643143413</v>
      </c>
      <c r="AK1854" s="273">
        <f t="shared" si="134"/>
        <v>0.15930805798213685</v>
      </c>
      <c r="AL1854" s="265"/>
    </row>
    <row r="1855" spans="1:38">
      <c r="A1855" s="285" t="s">
        <v>92</v>
      </c>
      <c r="C1855" s="273">
        <f t="shared" si="126"/>
        <v>16.644140077995662</v>
      </c>
      <c r="D1855" s="273">
        <f t="shared" si="126"/>
        <v>0</v>
      </c>
      <c r="E1855" s="273">
        <f t="shared" si="126"/>
        <v>0</v>
      </c>
      <c r="G1855" s="273">
        <f t="shared" si="127"/>
        <v>14.054305697601439</v>
      </c>
      <c r="H1855" s="273">
        <f t="shared" si="127"/>
        <v>0.22746581020290213</v>
      </c>
      <c r="I1855" s="273">
        <f t="shared" si="127"/>
        <v>0.11897300027719956</v>
      </c>
      <c r="K1855" s="273">
        <f t="shared" si="128"/>
        <v>14.054305697601439</v>
      </c>
      <c r="L1855" s="273">
        <f t="shared" si="128"/>
        <v>0.22746581020290213</v>
      </c>
      <c r="M1855" s="273">
        <f t="shared" si="128"/>
        <v>0.11897300027719956</v>
      </c>
      <c r="O1855" s="273">
        <f t="shared" si="129"/>
        <v>10.03560834869565</v>
      </c>
      <c r="P1855" s="273">
        <f t="shared" si="129"/>
        <v>0.78279522511468114</v>
      </c>
      <c r="Q1855" s="273">
        <f t="shared" si="129"/>
        <v>0.15807797216727987</v>
      </c>
      <c r="S1855" s="273">
        <f t="shared" si="130"/>
        <v>10.03560834869565</v>
      </c>
      <c r="T1855" s="273">
        <f t="shared" si="130"/>
        <v>0.78279522511468114</v>
      </c>
      <c r="U1855" s="273">
        <f t="shared" si="130"/>
        <v>0.15807797216727987</v>
      </c>
      <c r="W1855" s="273">
        <f t="shared" si="131"/>
        <v>14.054305697601439</v>
      </c>
      <c r="X1855" s="273">
        <f t="shared" si="131"/>
        <v>0.22746581020290213</v>
      </c>
      <c r="Y1855" s="273">
        <f t="shared" si="131"/>
        <v>0.11897300027719956</v>
      </c>
      <c r="AA1855" s="273">
        <f t="shared" si="132"/>
        <v>10.03560834869565</v>
      </c>
      <c r="AB1855" s="273">
        <f t="shared" si="132"/>
        <v>0.78279522511468114</v>
      </c>
      <c r="AC1855" s="273">
        <f t="shared" si="132"/>
        <v>0.15807797216727987</v>
      </c>
      <c r="AE1855" s="273">
        <f t="shared" si="133"/>
        <v>10.03560834869565</v>
      </c>
      <c r="AF1855" s="273">
        <f t="shared" si="133"/>
        <v>0.78279522511468114</v>
      </c>
      <c r="AG1855" s="273">
        <f t="shared" si="133"/>
        <v>0.15807797216727987</v>
      </c>
      <c r="AI1855" s="273">
        <f t="shared" si="134"/>
        <v>10.03560834869565</v>
      </c>
      <c r="AJ1855" s="273">
        <f t="shared" si="134"/>
        <v>0.78279522511468114</v>
      </c>
      <c r="AK1855" s="273">
        <f t="shared" si="134"/>
        <v>0.15807797216727987</v>
      </c>
      <c r="AL1855" s="265"/>
    </row>
    <row r="1857" spans="1:38" ht="21" customHeight="1">
      <c r="A1857" s="1" t="s">
        <v>1305</v>
      </c>
    </row>
    <row r="1858" spans="1:38">
      <c r="A1858" s="264" t="s">
        <v>217</v>
      </c>
    </row>
    <row r="1859" spans="1:38">
      <c r="A1859" s="269" t="s">
        <v>1281</v>
      </c>
    </row>
    <row r="1860" spans="1:38">
      <c r="A1860" s="269" t="s">
        <v>1302</v>
      </c>
    </row>
    <row r="1861" spans="1:38">
      <c r="A1861" s="269" t="s">
        <v>1306</v>
      </c>
    </row>
    <row r="1862" spans="1:38">
      <c r="A1862" s="264" t="s">
        <v>684</v>
      </c>
    </row>
    <row r="1864" spans="1:38">
      <c r="B1864" s="288" t="s">
        <v>22</v>
      </c>
      <c r="C1864" s="284" t="s">
        <v>195</v>
      </c>
      <c r="D1864" s="284" t="s">
        <v>196</v>
      </c>
      <c r="E1864" s="284" t="s">
        <v>197</v>
      </c>
      <c r="F1864" s="288" t="s">
        <v>23</v>
      </c>
      <c r="G1864" s="284" t="s">
        <v>195</v>
      </c>
      <c r="H1864" s="284" t="s">
        <v>196</v>
      </c>
      <c r="I1864" s="284" t="s">
        <v>197</v>
      </c>
      <c r="J1864" s="288" t="s">
        <v>24</v>
      </c>
      <c r="K1864" s="284" t="s">
        <v>195</v>
      </c>
      <c r="L1864" s="284" t="s">
        <v>196</v>
      </c>
      <c r="M1864" s="284" t="s">
        <v>197</v>
      </c>
      <c r="N1864" s="288" t="s">
        <v>25</v>
      </c>
      <c r="O1864" s="284" t="s">
        <v>195</v>
      </c>
      <c r="P1864" s="284" t="s">
        <v>196</v>
      </c>
      <c r="Q1864" s="284" t="s">
        <v>197</v>
      </c>
      <c r="R1864" s="288" t="s">
        <v>26</v>
      </c>
      <c r="S1864" s="284" t="s">
        <v>195</v>
      </c>
      <c r="T1864" s="284" t="s">
        <v>196</v>
      </c>
      <c r="U1864" s="284" t="s">
        <v>197</v>
      </c>
      <c r="V1864" s="288" t="s">
        <v>31</v>
      </c>
      <c r="W1864" s="284" t="s">
        <v>195</v>
      </c>
      <c r="X1864" s="284" t="s">
        <v>196</v>
      </c>
      <c r="Y1864" s="284" t="s">
        <v>197</v>
      </c>
      <c r="Z1864" s="288" t="s">
        <v>27</v>
      </c>
      <c r="AA1864" s="284" t="s">
        <v>195</v>
      </c>
      <c r="AB1864" s="284" t="s">
        <v>196</v>
      </c>
      <c r="AC1864" s="284" t="s">
        <v>197</v>
      </c>
      <c r="AD1864" s="288" t="s">
        <v>28</v>
      </c>
      <c r="AE1864" s="284" t="s">
        <v>195</v>
      </c>
      <c r="AF1864" s="284" t="s">
        <v>196</v>
      </c>
      <c r="AG1864" s="284" t="s">
        <v>197</v>
      </c>
      <c r="AH1864" s="288" t="s">
        <v>29</v>
      </c>
      <c r="AI1864" s="284" t="s">
        <v>195</v>
      </c>
      <c r="AJ1864" s="284" t="s">
        <v>196</v>
      </c>
      <c r="AK1864" s="284" t="s">
        <v>197</v>
      </c>
    </row>
    <row r="1865" spans="1:38">
      <c r="A1865" s="285" t="s">
        <v>1178</v>
      </c>
      <c r="C1865" s="273">
        <f t="shared" ref="C1865:E1866" si="135">C1740*$B1824*$B1807</f>
        <v>24.865437920984643</v>
      </c>
      <c r="D1865" s="273">
        <f t="shared" si="135"/>
        <v>0</v>
      </c>
      <c r="E1865" s="273">
        <f t="shared" si="135"/>
        <v>0</v>
      </c>
      <c r="G1865" s="273">
        <f t="shared" ref="G1865:I1866" si="136">G1740*$C1824*$C1807</f>
        <v>20.993602005020652</v>
      </c>
      <c r="H1865" s="273">
        <f t="shared" si="136"/>
        <v>0.3397767767328605</v>
      </c>
      <c r="I1865" s="273">
        <f t="shared" si="136"/>
        <v>0.17771577414806064</v>
      </c>
      <c r="K1865" s="273">
        <f t="shared" ref="K1865:M1866" si="137">K1740*$D1824*$D1807</f>
        <v>20.993602005020652</v>
      </c>
      <c r="L1865" s="273">
        <f t="shared" si="137"/>
        <v>0.3397767767328605</v>
      </c>
      <c r="M1865" s="273">
        <f t="shared" si="137"/>
        <v>0.17771577414806064</v>
      </c>
      <c r="O1865" s="273">
        <f t="shared" ref="O1865:Q1866" si="138">O1740*$E1824*$E1807</f>
        <v>14.985712266893355</v>
      </c>
      <c r="P1865" s="273">
        <f t="shared" si="138"/>
        <v>1.1689120977893972</v>
      </c>
      <c r="Q1865" s="273">
        <f t="shared" si="138"/>
        <v>0.23605056358548754</v>
      </c>
      <c r="S1865" s="273">
        <f t="shared" ref="S1865:U1866" si="139">S1740*$F1824*$F1807</f>
        <v>14.985712266893355</v>
      </c>
      <c r="T1865" s="273">
        <f t="shared" si="139"/>
        <v>1.1689120977893972</v>
      </c>
      <c r="U1865" s="273">
        <f t="shared" si="139"/>
        <v>0.23605056358548754</v>
      </c>
      <c r="W1865" s="273">
        <f t="shared" ref="W1865:Y1866" si="140">W1740*$G1824*$G1807</f>
        <v>20.993602005020652</v>
      </c>
      <c r="X1865" s="273">
        <f t="shared" si="140"/>
        <v>0.3397767767328605</v>
      </c>
      <c r="Y1865" s="273">
        <f t="shared" si="140"/>
        <v>0.17771577414806064</v>
      </c>
      <c r="AA1865" s="273">
        <f t="shared" ref="AA1865:AC1866" si="141">AA1740*$H1824*$H1807</f>
        <v>14.985712266893355</v>
      </c>
      <c r="AB1865" s="273">
        <f t="shared" si="141"/>
        <v>1.1689120977893972</v>
      </c>
      <c r="AC1865" s="273">
        <f t="shared" si="141"/>
        <v>0.23605056358548754</v>
      </c>
      <c r="AE1865" s="273">
        <f t="shared" ref="AE1865:AG1866" si="142">AE1740*$I1824*$I1807</f>
        <v>14.985712266893355</v>
      </c>
      <c r="AF1865" s="273">
        <f t="shared" si="142"/>
        <v>1.1689120977893972</v>
      </c>
      <c r="AG1865" s="273">
        <f t="shared" si="142"/>
        <v>0.23605056358548754</v>
      </c>
      <c r="AI1865" s="273">
        <f t="shared" ref="AI1865:AK1866" si="143">AI1740*$J1824*$J1807</f>
        <v>14.985712266893355</v>
      </c>
      <c r="AJ1865" s="273">
        <f t="shared" si="143"/>
        <v>1.1689120977893972</v>
      </c>
      <c r="AK1865" s="273">
        <f t="shared" si="143"/>
        <v>0.23605056358548754</v>
      </c>
      <c r="AL1865" s="265"/>
    </row>
    <row r="1866" spans="1:38">
      <c r="A1866" s="285" t="s">
        <v>1177</v>
      </c>
      <c r="C1866" s="273">
        <f t="shared" si="135"/>
        <v>25.361849273976436</v>
      </c>
      <c r="D1866" s="273">
        <f t="shared" si="135"/>
        <v>0</v>
      </c>
      <c r="E1866" s="273">
        <f t="shared" si="135"/>
        <v>0</v>
      </c>
      <c r="G1866" s="273">
        <f t="shared" si="136"/>
        <v>21.405074627065989</v>
      </c>
      <c r="H1866" s="273">
        <f t="shared" si="136"/>
        <v>0.34643636955542373</v>
      </c>
      <c r="I1866" s="273">
        <f t="shared" si="136"/>
        <v>0.18119898658345079</v>
      </c>
      <c r="K1866" s="273">
        <f t="shared" si="137"/>
        <v>21.405074627065989</v>
      </c>
      <c r="L1866" s="273">
        <f t="shared" si="137"/>
        <v>0.34643636955542373</v>
      </c>
      <c r="M1866" s="273">
        <f t="shared" si="137"/>
        <v>0.18119898658345079</v>
      </c>
      <c r="O1866" s="273">
        <f t="shared" si="138"/>
        <v>15.284694605273966</v>
      </c>
      <c r="P1866" s="273">
        <f t="shared" si="138"/>
        <v>1.1922332497062502</v>
      </c>
      <c r="Q1866" s="273">
        <f t="shared" si="138"/>
        <v>0.24076004607253396</v>
      </c>
      <c r="S1866" s="273">
        <f t="shared" si="139"/>
        <v>15.284694605273966</v>
      </c>
      <c r="T1866" s="273">
        <f t="shared" si="139"/>
        <v>1.1922332497062502</v>
      </c>
      <c r="U1866" s="273">
        <f t="shared" si="139"/>
        <v>0.24076004607253396</v>
      </c>
      <c r="W1866" s="273">
        <f t="shared" si="140"/>
        <v>21.405074627065989</v>
      </c>
      <c r="X1866" s="273">
        <f t="shared" si="140"/>
        <v>0.34643636955542373</v>
      </c>
      <c r="Y1866" s="273">
        <f t="shared" si="140"/>
        <v>0.18119898658345079</v>
      </c>
      <c r="AA1866" s="273">
        <f t="shared" si="141"/>
        <v>15.284694605273966</v>
      </c>
      <c r="AB1866" s="273">
        <f t="shared" si="141"/>
        <v>1.1922332497062502</v>
      </c>
      <c r="AC1866" s="273">
        <f t="shared" si="141"/>
        <v>0.24076004607253396</v>
      </c>
      <c r="AE1866" s="273">
        <f t="shared" si="142"/>
        <v>15.284694605273966</v>
      </c>
      <c r="AF1866" s="273">
        <f t="shared" si="142"/>
        <v>1.1922332497062502</v>
      </c>
      <c r="AG1866" s="273">
        <f t="shared" si="142"/>
        <v>0.24076004607253396</v>
      </c>
      <c r="AI1866" s="273">
        <f t="shared" si="143"/>
        <v>15.284694605273966</v>
      </c>
      <c r="AJ1866" s="273">
        <f t="shared" si="143"/>
        <v>1.1922332497062502</v>
      </c>
      <c r="AK1866" s="273">
        <f t="shared" si="143"/>
        <v>0.24076004607253396</v>
      </c>
      <c r="AL1866" s="265"/>
    </row>
    <row r="1868" spans="1:38" ht="21" customHeight="1">
      <c r="A1868" s="1" t="s">
        <v>1307</v>
      </c>
    </row>
    <row r="1869" spans="1:38">
      <c r="A1869" s="264" t="s">
        <v>217</v>
      </c>
    </row>
    <row r="1870" spans="1:38">
      <c r="A1870" s="269" t="s">
        <v>1308</v>
      </c>
    </row>
    <row r="1871" spans="1:38">
      <c r="A1871" s="269" t="s">
        <v>1309</v>
      </c>
    </row>
    <row r="1872" spans="1:38">
      <c r="A1872" s="269" t="s">
        <v>1310</v>
      </c>
    </row>
    <row r="1873" spans="1:38">
      <c r="A1873" s="269" t="s">
        <v>1311</v>
      </c>
    </row>
    <row r="1874" spans="1:38">
      <c r="A1874" s="269" t="s">
        <v>1215</v>
      </c>
    </row>
    <row r="1875" spans="1:38">
      <c r="A1875" s="264" t="s">
        <v>303</v>
      </c>
    </row>
    <row r="1877" spans="1:38">
      <c r="B1877" s="288" t="s">
        <v>22</v>
      </c>
      <c r="C1877" s="284" t="s">
        <v>195</v>
      </c>
      <c r="D1877" s="284" t="s">
        <v>196</v>
      </c>
      <c r="E1877" s="284" t="s">
        <v>197</v>
      </c>
      <c r="F1877" s="288" t="s">
        <v>23</v>
      </c>
      <c r="G1877" s="284" t="s">
        <v>195</v>
      </c>
      <c r="H1877" s="284" t="s">
        <v>196</v>
      </c>
      <c r="I1877" s="284" t="s">
        <v>197</v>
      </c>
      <c r="J1877" s="288" t="s">
        <v>24</v>
      </c>
      <c r="K1877" s="284" t="s">
        <v>195</v>
      </c>
      <c r="L1877" s="284" t="s">
        <v>196</v>
      </c>
      <c r="M1877" s="284" t="s">
        <v>197</v>
      </c>
      <c r="N1877" s="288" t="s">
        <v>25</v>
      </c>
      <c r="O1877" s="284" t="s">
        <v>195</v>
      </c>
      <c r="P1877" s="284" t="s">
        <v>196</v>
      </c>
      <c r="Q1877" s="284" t="s">
        <v>197</v>
      </c>
      <c r="R1877" s="288" t="s">
        <v>26</v>
      </c>
      <c r="S1877" s="284" t="s">
        <v>195</v>
      </c>
      <c r="T1877" s="284" t="s">
        <v>196</v>
      </c>
      <c r="U1877" s="284" t="s">
        <v>197</v>
      </c>
      <c r="V1877" s="288" t="s">
        <v>31</v>
      </c>
      <c r="W1877" s="284" t="s">
        <v>195</v>
      </c>
      <c r="X1877" s="284" t="s">
        <v>196</v>
      </c>
      <c r="Y1877" s="284" t="s">
        <v>197</v>
      </c>
      <c r="Z1877" s="288" t="s">
        <v>27</v>
      </c>
      <c r="AA1877" s="284" t="s">
        <v>195</v>
      </c>
      <c r="AB1877" s="284" t="s">
        <v>196</v>
      </c>
      <c r="AC1877" s="284" t="s">
        <v>197</v>
      </c>
      <c r="AD1877" s="288" t="s">
        <v>28</v>
      </c>
      <c r="AE1877" s="284" t="s">
        <v>195</v>
      </c>
      <c r="AF1877" s="284" t="s">
        <v>196</v>
      </c>
      <c r="AG1877" s="284" t="s">
        <v>197</v>
      </c>
      <c r="AH1877" s="288" t="s">
        <v>29</v>
      </c>
      <c r="AI1877" s="284" t="s">
        <v>195</v>
      </c>
      <c r="AJ1877" s="284" t="s">
        <v>196</v>
      </c>
      <c r="AK1877" s="284" t="s">
        <v>197</v>
      </c>
    </row>
    <row r="1878" spans="1:38">
      <c r="A1878" s="285" t="s">
        <v>54</v>
      </c>
      <c r="C1878" s="274">
        <f>C$1834</f>
        <v>24.700696395036278</v>
      </c>
      <c r="D1878" s="274">
        <f>D$1834</f>
        <v>0</v>
      </c>
      <c r="E1878" s="274">
        <f>E$1834</f>
        <v>0</v>
      </c>
      <c r="G1878" s="274">
        <f>G$1834</f>
        <v>20.852806031807368</v>
      </c>
      <c r="H1878" s="274">
        <f>H$1834</f>
        <v>0.33749802523781286</v>
      </c>
      <c r="I1878" s="274">
        <f>I$1834</f>
        <v>0.17652390314990871</v>
      </c>
      <c r="K1878" s="274">
        <f>K$1834</f>
        <v>20.852806031807368</v>
      </c>
      <c r="L1878" s="274">
        <f>L$1834</f>
        <v>0.33749802523781286</v>
      </c>
      <c r="M1878" s="274">
        <f>M$1834</f>
        <v>0.17652390314990871</v>
      </c>
      <c r="O1878" s="274">
        <f>O$1834</f>
        <v>14.886263305639677</v>
      </c>
      <c r="P1878" s="274">
        <f>P$1834</f>
        <v>1.1611549026790371</v>
      </c>
      <c r="Q1878" s="274">
        <f>Q$1834</f>
        <v>0.23448407258834067</v>
      </c>
      <c r="S1878" s="274">
        <f>S$1834</f>
        <v>14.886263305639677</v>
      </c>
      <c r="T1878" s="274">
        <f>T$1834</f>
        <v>1.1611549026790371</v>
      </c>
      <c r="U1878" s="274">
        <f>U$1834</f>
        <v>0.23448407258834067</v>
      </c>
      <c r="W1878" s="274">
        <f>W$1834</f>
        <v>20.852806031807368</v>
      </c>
      <c r="X1878" s="274">
        <f>X$1834</f>
        <v>0.33749802523781286</v>
      </c>
      <c r="Y1878" s="274">
        <f>Y$1834</f>
        <v>0.17652390314990871</v>
      </c>
      <c r="AA1878" s="274">
        <f>AA$1834</f>
        <v>14.886263305639677</v>
      </c>
      <c r="AB1878" s="274">
        <f>AB$1834</f>
        <v>1.1611549026790371</v>
      </c>
      <c r="AC1878" s="274">
        <f>AC$1834</f>
        <v>0.23448407258834067</v>
      </c>
      <c r="AE1878" s="274">
        <f>AE$1834</f>
        <v>14.886263305639677</v>
      </c>
      <c r="AF1878" s="274">
        <f>AF$1834</f>
        <v>1.1611549026790371</v>
      </c>
      <c r="AG1878" s="274">
        <f>AG$1834</f>
        <v>0.23448407258834067</v>
      </c>
      <c r="AI1878" s="274">
        <f>AI$1834</f>
        <v>14.886263305639677</v>
      </c>
      <c r="AJ1878" s="274">
        <f>AJ$1834</f>
        <v>1.1611549026790371</v>
      </c>
      <c r="AK1878" s="274">
        <f>AK$1834</f>
        <v>0.23448407258834067</v>
      </c>
      <c r="AL1878" s="265"/>
    </row>
    <row r="1879" spans="1:38">
      <c r="A1879" s="285" t="s">
        <v>55</v>
      </c>
      <c r="C1879" s="274">
        <f>C$1844</f>
        <v>25.840126709410761</v>
      </c>
      <c r="D1879" s="274">
        <f>D$1844</f>
        <v>0</v>
      </c>
      <c r="E1879" s="274">
        <f>E$1844</f>
        <v>0</v>
      </c>
      <c r="G1879" s="274">
        <f>G$1844</f>
        <v>21.81473515932732</v>
      </c>
      <c r="H1879" s="274">
        <f>H$1844</f>
        <v>0.35306663410807798</v>
      </c>
      <c r="I1879" s="274">
        <f>I$1844</f>
        <v>0.18466685925300586</v>
      </c>
      <c r="K1879" s="274">
        <f>K$1844</f>
        <v>21.81473515932732</v>
      </c>
      <c r="L1879" s="274">
        <f>L$1844</f>
        <v>0.35306663410807798</v>
      </c>
      <c r="M1879" s="274">
        <f>M$1844</f>
        <v>0.18466685925300586</v>
      </c>
      <c r="O1879" s="274">
        <f>O$1844</f>
        <v>15.572958911582795</v>
      </c>
      <c r="P1879" s="274">
        <f>P$1844</f>
        <v>1.2147183761389564</v>
      </c>
      <c r="Q1879" s="274">
        <f>Q$1844</f>
        <v>0.24530070124820441</v>
      </c>
      <c r="S1879" s="274">
        <f>S$1844</f>
        <v>15.572958911582795</v>
      </c>
      <c r="T1879" s="274">
        <f>T$1844</f>
        <v>1.2147183761389564</v>
      </c>
      <c r="U1879" s="274">
        <f>U$1844</f>
        <v>0.24530070124820441</v>
      </c>
      <c r="W1879" s="274">
        <f>W$1844</f>
        <v>21.81473515932732</v>
      </c>
      <c r="X1879" s="274">
        <f>X$1844</f>
        <v>0.35306663410807798</v>
      </c>
      <c r="Y1879" s="274">
        <f>Y$1844</f>
        <v>0.18466685925300586</v>
      </c>
      <c r="AA1879" s="274">
        <f>AA$1844</f>
        <v>15.572958911582795</v>
      </c>
      <c r="AB1879" s="274">
        <f>AB$1844</f>
        <v>1.2147183761389564</v>
      </c>
      <c r="AC1879" s="274">
        <f>AC$1844</f>
        <v>0.24530070124820441</v>
      </c>
      <c r="AE1879" s="274">
        <f>AE$1844</f>
        <v>15.572958911582795</v>
      </c>
      <c r="AF1879" s="274">
        <f>AF$1844</f>
        <v>1.2147183761389564</v>
      </c>
      <c r="AG1879" s="274">
        <f>AG$1844</f>
        <v>0.24530070124820441</v>
      </c>
      <c r="AI1879" s="274">
        <f>AI$1844</f>
        <v>15.572958911582795</v>
      </c>
      <c r="AJ1879" s="274">
        <f>AJ$1844</f>
        <v>1.2147183761389564</v>
      </c>
      <c r="AK1879" s="274">
        <f>AK$1844</f>
        <v>0.24530070124820441</v>
      </c>
      <c r="AL1879" s="265"/>
    </row>
    <row r="1880" spans="1:38">
      <c r="A1880" s="285" t="s">
        <v>91</v>
      </c>
      <c r="C1880" s="274">
        <f>C$1854</f>
        <v>16.781608789301028</v>
      </c>
      <c r="D1880" s="274">
        <f>D$1854</f>
        <v>0</v>
      </c>
      <c r="E1880" s="274">
        <f>E$1854</f>
        <v>0</v>
      </c>
      <c r="G1880" s="274">
        <f>G$1854</f>
        <v>14.167358984068594</v>
      </c>
      <c r="H1880" s="274">
        <f>H$1854</f>
        <v>0.22929555248655978</v>
      </c>
      <c r="I1880" s="274">
        <f>I$1854</f>
        <v>0.11993002291293819</v>
      </c>
      <c r="K1880" s="274">
        <f>K$1854</f>
        <v>14.167358984068594</v>
      </c>
      <c r="L1880" s="274">
        <f>L$1854</f>
        <v>0.22929555248655978</v>
      </c>
      <c r="M1880" s="274">
        <f>M$1854</f>
        <v>0.11993002291293819</v>
      </c>
      <c r="O1880" s="274">
        <f>O$1854</f>
        <v>10.113700566757048</v>
      </c>
      <c r="P1880" s="274">
        <f>P$1854</f>
        <v>0.78888655643143413</v>
      </c>
      <c r="Q1880" s="274">
        <f>Q$1854</f>
        <v>0.15930805798213685</v>
      </c>
      <c r="S1880" s="274">
        <f>S$1854</f>
        <v>10.113700566757048</v>
      </c>
      <c r="T1880" s="274">
        <f>T$1854</f>
        <v>0.78888655643143413</v>
      </c>
      <c r="U1880" s="274">
        <f>U$1854</f>
        <v>0.15930805798213685</v>
      </c>
      <c r="W1880" s="274">
        <f>W$1854</f>
        <v>14.167358984068594</v>
      </c>
      <c r="X1880" s="274">
        <f>X$1854</f>
        <v>0.22929555248655978</v>
      </c>
      <c r="Y1880" s="274">
        <f>Y$1854</f>
        <v>0.11993002291293819</v>
      </c>
      <c r="AA1880" s="274">
        <f>AA$1854</f>
        <v>10.113700566757048</v>
      </c>
      <c r="AB1880" s="274">
        <f>AB$1854</f>
        <v>0.78888655643143413</v>
      </c>
      <c r="AC1880" s="274">
        <f>AC$1854</f>
        <v>0.15930805798213685</v>
      </c>
      <c r="AE1880" s="274">
        <f>AE$1854</f>
        <v>10.113700566757048</v>
      </c>
      <c r="AF1880" s="274">
        <f>AF$1854</f>
        <v>0.78888655643143413</v>
      </c>
      <c r="AG1880" s="274">
        <f>AG$1854</f>
        <v>0.15930805798213685</v>
      </c>
      <c r="AI1880" s="274">
        <f>AI$1854</f>
        <v>10.113700566757048</v>
      </c>
      <c r="AJ1880" s="274">
        <f>AJ$1854</f>
        <v>0.78888655643143413</v>
      </c>
      <c r="AK1880" s="274">
        <f>AK$1854</f>
        <v>0.15930805798213685</v>
      </c>
      <c r="AL1880" s="265"/>
    </row>
    <row r="1881" spans="1:38">
      <c r="A1881" s="285" t="s">
        <v>56</v>
      </c>
      <c r="C1881" s="274">
        <f>C$1835</f>
        <v>25.710286928653233</v>
      </c>
      <c r="D1881" s="274">
        <f>D$1835</f>
        <v>0</v>
      </c>
      <c r="E1881" s="274">
        <f>E$1835</f>
        <v>0</v>
      </c>
      <c r="G1881" s="274">
        <f>G$1835</f>
        <v>21.709756729700192</v>
      </c>
      <c r="H1881" s="274">
        <f>H$1835</f>
        <v>0.35136758158547365</v>
      </c>
      <c r="I1881" s="274">
        <f>I$1835</f>
        <v>0.18377819217788605</v>
      </c>
      <c r="K1881" s="274">
        <f>K$1835</f>
        <v>21.709756729700192</v>
      </c>
      <c r="L1881" s="274">
        <f>L$1835</f>
        <v>0.35136758158547365</v>
      </c>
      <c r="M1881" s="274">
        <f>M$1835</f>
        <v>0.18377819217788605</v>
      </c>
      <c r="O1881" s="274">
        <f>O$1835</f>
        <v>15.502054713518392</v>
      </c>
      <c r="P1881" s="274">
        <f>P$1835</f>
        <v>1.2091877231125645</v>
      </c>
      <c r="Q1881" s="274">
        <f>Q$1835</f>
        <v>0.24418383902533533</v>
      </c>
      <c r="S1881" s="274">
        <f>S$1835</f>
        <v>15.502054713518392</v>
      </c>
      <c r="T1881" s="274">
        <f>T$1835</f>
        <v>1.2091877231125645</v>
      </c>
      <c r="U1881" s="274">
        <f>U$1835</f>
        <v>0.24418383902533533</v>
      </c>
      <c r="W1881" s="274">
        <f>W$1835</f>
        <v>21.709756729700192</v>
      </c>
      <c r="X1881" s="274">
        <f>X$1835</f>
        <v>0.35136758158547365</v>
      </c>
      <c r="Y1881" s="274">
        <f>Y$1835</f>
        <v>0.18377819217788605</v>
      </c>
      <c r="AA1881" s="274">
        <f>AA$1835</f>
        <v>15.502054713518392</v>
      </c>
      <c r="AB1881" s="274">
        <f>AB$1835</f>
        <v>1.2091877231125645</v>
      </c>
      <c r="AC1881" s="274">
        <f>AC$1835</f>
        <v>0.24418383902533533</v>
      </c>
      <c r="AE1881" s="274">
        <f>AE$1835</f>
        <v>15.502054713518392</v>
      </c>
      <c r="AF1881" s="274">
        <f>AF$1835</f>
        <v>1.2091877231125645</v>
      </c>
      <c r="AG1881" s="274">
        <f>AG$1835</f>
        <v>0.24418383902533533</v>
      </c>
      <c r="AI1881" s="274">
        <f>AI$1835</f>
        <v>15.502054713518392</v>
      </c>
      <c r="AJ1881" s="274">
        <f>AJ$1835</f>
        <v>1.2091877231125645</v>
      </c>
      <c r="AK1881" s="274">
        <f>AK$1835</f>
        <v>0.24418383902533533</v>
      </c>
      <c r="AL1881" s="265"/>
    </row>
    <row r="1882" spans="1:38">
      <c r="A1882" s="285" t="s">
        <v>57</v>
      </c>
      <c r="C1882" s="274">
        <f>C$1845</f>
        <v>24.566402254032191</v>
      </c>
      <c r="D1882" s="274">
        <f>D$1845</f>
        <v>0</v>
      </c>
      <c r="E1882" s="274">
        <f>E$1845</f>
        <v>0</v>
      </c>
      <c r="G1882" s="274">
        <f>G$1845</f>
        <v>20.743860935469321</v>
      </c>
      <c r="H1882" s="274">
        <f>H$1845</f>
        <v>0.33573477309719685</v>
      </c>
      <c r="I1882" s="274">
        <f>I$1845</f>
        <v>0.17560165730897484</v>
      </c>
      <c r="K1882" s="274">
        <f>K$1845</f>
        <v>20.743860935469321</v>
      </c>
      <c r="L1882" s="274">
        <f>L$1845</f>
        <v>0.33573477309719685</v>
      </c>
      <c r="M1882" s="274">
        <f>M$1845</f>
        <v>0.17560165730897484</v>
      </c>
      <c r="O1882" s="274">
        <f>O$1845</f>
        <v>14.812347793438544</v>
      </c>
      <c r="P1882" s="274">
        <f>P$1845</f>
        <v>1.1553893618166866</v>
      </c>
      <c r="Q1882" s="274">
        <f>Q$1845</f>
        <v>0.23331977702453671</v>
      </c>
      <c r="S1882" s="274">
        <f>S$1845</f>
        <v>14.812347793438544</v>
      </c>
      <c r="T1882" s="274">
        <f>T$1845</f>
        <v>1.1553893618166866</v>
      </c>
      <c r="U1882" s="274">
        <f>U$1845</f>
        <v>0.23331977702453671</v>
      </c>
      <c r="W1882" s="274">
        <f>W$1845</f>
        <v>20.743860935469321</v>
      </c>
      <c r="X1882" s="274">
        <f>X$1845</f>
        <v>0.33573477309719685</v>
      </c>
      <c r="Y1882" s="274">
        <f>Y$1845</f>
        <v>0.17560165730897484</v>
      </c>
      <c r="AA1882" s="274">
        <f>AA$1845</f>
        <v>14.812347793438544</v>
      </c>
      <c r="AB1882" s="274">
        <f>AB$1845</f>
        <v>1.1553893618166866</v>
      </c>
      <c r="AC1882" s="274">
        <f>AC$1845</f>
        <v>0.23331977702453671</v>
      </c>
      <c r="AE1882" s="274">
        <f>AE$1845</f>
        <v>14.812347793438544</v>
      </c>
      <c r="AF1882" s="274">
        <f>AF$1845</f>
        <v>1.1553893618166866</v>
      </c>
      <c r="AG1882" s="274">
        <f>AG$1845</f>
        <v>0.23331977702453671</v>
      </c>
      <c r="AI1882" s="274">
        <f>AI$1845</f>
        <v>14.812347793438544</v>
      </c>
      <c r="AJ1882" s="274">
        <f>AJ$1845</f>
        <v>1.1553893618166866</v>
      </c>
      <c r="AK1882" s="274">
        <f>AK$1845</f>
        <v>0.23331977702453671</v>
      </c>
      <c r="AL1882" s="265"/>
    </row>
    <row r="1883" spans="1:38">
      <c r="A1883" s="285" t="s">
        <v>92</v>
      </c>
      <c r="C1883" s="274">
        <f>C$1855</f>
        <v>16.644140077995662</v>
      </c>
      <c r="D1883" s="274">
        <f>D$1855</f>
        <v>0</v>
      </c>
      <c r="E1883" s="274">
        <f>E$1855</f>
        <v>0</v>
      </c>
      <c r="G1883" s="274">
        <f>G$1855</f>
        <v>14.054305697601439</v>
      </c>
      <c r="H1883" s="274">
        <f>H$1855</f>
        <v>0.22746581020290213</v>
      </c>
      <c r="I1883" s="274">
        <f>I$1855</f>
        <v>0.11897300027719956</v>
      </c>
      <c r="K1883" s="274">
        <f>K$1855</f>
        <v>14.054305697601439</v>
      </c>
      <c r="L1883" s="274">
        <f>L$1855</f>
        <v>0.22746581020290213</v>
      </c>
      <c r="M1883" s="274">
        <f>M$1855</f>
        <v>0.11897300027719956</v>
      </c>
      <c r="O1883" s="274">
        <f>O$1855</f>
        <v>10.03560834869565</v>
      </c>
      <c r="P1883" s="274">
        <f>P$1855</f>
        <v>0.78279522511468114</v>
      </c>
      <c r="Q1883" s="274">
        <f>Q$1855</f>
        <v>0.15807797216727987</v>
      </c>
      <c r="S1883" s="274">
        <f>S$1855</f>
        <v>10.03560834869565</v>
      </c>
      <c r="T1883" s="274">
        <f>T$1855</f>
        <v>0.78279522511468114</v>
      </c>
      <c r="U1883" s="274">
        <f>U$1855</f>
        <v>0.15807797216727987</v>
      </c>
      <c r="W1883" s="274">
        <f>W$1855</f>
        <v>14.054305697601439</v>
      </c>
      <c r="X1883" s="274">
        <f>X$1855</f>
        <v>0.22746581020290213</v>
      </c>
      <c r="Y1883" s="274">
        <f>Y$1855</f>
        <v>0.11897300027719956</v>
      </c>
      <c r="AA1883" s="274">
        <f>AA$1855</f>
        <v>10.03560834869565</v>
      </c>
      <c r="AB1883" s="274">
        <f>AB$1855</f>
        <v>0.78279522511468114</v>
      </c>
      <c r="AC1883" s="274">
        <f>AC$1855</f>
        <v>0.15807797216727987</v>
      </c>
      <c r="AE1883" s="274">
        <f>AE$1855</f>
        <v>10.03560834869565</v>
      </c>
      <c r="AF1883" s="274">
        <f>AF$1855</f>
        <v>0.78279522511468114</v>
      </c>
      <c r="AG1883" s="274">
        <f>AG$1855</f>
        <v>0.15807797216727987</v>
      </c>
      <c r="AI1883" s="274">
        <f>AI$1855</f>
        <v>10.03560834869565</v>
      </c>
      <c r="AJ1883" s="274">
        <f>AJ$1855</f>
        <v>0.78279522511468114</v>
      </c>
      <c r="AK1883" s="274">
        <f>AK$1855</f>
        <v>0.15807797216727987</v>
      </c>
      <c r="AL1883" s="265"/>
    </row>
    <row r="1884" spans="1:38">
      <c r="A1884" s="285" t="s">
        <v>58</v>
      </c>
      <c r="C1884" s="274">
        <f t="shared" ref="C1884:E1886" si="144">C1599</f>
        <v>21.753862006848824</v>
      </c>
      <c r="D1884" s="274">
        <f t="shared" si="144"/>
        <v>0</v>
      </c>
      <c r="E1884" s="274">
        <f t="shared" si="144"/>
        <v>0</v>
      </c>
      <c r="G1884" s="274">
        <f t="shared" ref="G1884:I1886" si="145">G1599</f>
        <v>18.36503136904912</v>
      </c>
      <c r="H1884" s="274">
        <f t="shared" si="145"/>
        <v>0.29723394592700547</v>
      </c>
      <c r="I1884" s="274">
        <f t="shared" si="145"/>
        <v>0.15546430604064271</v>
      </c>
      <c r="K1884" s="274">
        <f t="shared" ref="K1884:M1886" si="146">K1599</f>
        <v>18.36503136904912</v>
      </c>
      <c r="L1884" s="274">
        <f t="shared" si="146"/>
        <v>0.29723394592700547</v>
      </c>
      <c r="M1884" s="274">
        <f t="shared" si="146"/>
        <v>0.15546430604064271</v>
      </c>
      <c r="O1884" s="274">
        <f t="shared" ref="O1884:Q1886" si="147">O1599</f>
        <v>13.110307141111194</v>
      </c>
      <c r="P1884" s="274">
        <f t="shared" si="147"/>
        <v>1.0226271764763133</v>
      </c>
      <c r="Q1884" s="274">
        <f t="shared" si="147"/>
        <v>0.20650972968932438</v>
      </c>
      <c r="S1884" s="274">
        <f t="shared" ref="S1884:U1886" si="148">S1599</f>
        <v>13.110307141111194</v>
      </c>
      <c r="T1884" s="274">
        <f t="shared" si="148"/>
        <v>1.0226271764763133</v>
      </c>
      <c r="U1884" s="274">
        <f t="shared" si="148"/>
        <v>0.20650972968932438</v>
      </c>
      <c r="W1884" s="274">
        <f t="shared" ref="W1884:Y1886" si="149">W1599</f>
        <v>18.36503136904912</v>
      </c>
      <c r="X1884" s="274">
        <f t="shared" si="149"/>
        <v>0.29723394592700547</v>
      </c>
      <c r="Y1884" s="274">
        <f t="shared" si="149"/>
        <v>0.15546430604064271</v>
      </c>
      <c r="AA1884" s="274">
        <f t="shared" ref="AA1884:AC1886" si="150">AA1599</f>
        <v>13.110307141111194</v>
      </c>
      <c r="AB1884" s="274">
        <f t="shared" si="150"/>
        <v>1.0226271764763133</v>
      </c>
      <c r="AC1884" s="274">
        <f t="shared" si="150"/>
        <v>0.20650972968932438</v>
      </c>
      <c r="AE1884" s="274">
        <f t="shared" ref="AE1884:AG1886" si="151">AE1599</f>
        <v>13.110307141111194</v>
      </c>
      <c r="AF1884" s="274">
        <f t="shared" si="151"/>
        <v>1.0226271764763133</v>
      </c>
      <c r="AG1884" s="274">
        <f t="shared" si="151"/>
        <v>0.20650972968932438</v>
      </c>
      <c r="AI1884" s="274">
        <f t="shared" ref="AI1884:AK1886" si="152">AI1599</f>
        <v>13.110307141111194</v>
      </c>
      <c r="AJ1884" s="274">
        <f t="shared" si="152"/>
        <v>1.0226271764763133</v>
      </c>
      <c r="AK1884" s="274">
        <f t="shared" si="152"/>
        <v>0.20650972968932438</v>
      </c>
      <c r="AL1884" s="265"/>
    </row>
    <row r="1885" spans="1:38">
      <c r="A1885" s="285" t="s">
        <v>59</v>
      </c>
      <c r="C1885" s="274">
        <f t="shared" si="144"/>
        <v>21.816545139253186</v>
      </c>
      <c r="D1885" s="274">
        <f t="shared" si="144"/>
        <v>0</v>
      </c>
      <c r="E1885" s="274">
        <f t="shared" si="144"/>
        <v>0</v>
      </c>
      <c r="G1885" s="274">
        <f t="shared" si="145"/>
        <v>18.417949682705512</v>
      </c>
      <c r="H1885" s="274">
        <f t="shared" si="145"/>
        <v>0.29809041705759121</v>
      </c>
      <c r="I1885" s="274">
        <f t="shared" si="145"/>
        <v>0.1559122720007389</v>
      </c>
      <c r="K1885" s="274">
        <f t="shared" si="146"/>
        <v>18.417949682705512</v>
      </c>
      <c r="L1885" s="274">
        <f t="shared" si="146"/>
        <v>0.29809041705759121</v>
      </c>
      <c r="M1885" s="274">
        <f t="shared" si="146"/>
        <v>0.1559122720007389</v>
      </c>
      <c r="O1885" s="274">
        <f t="shared" si="147"/>
        <v>13.148084116901948</v>
      </c>
      <c r="P1885" s="274">
        <f t="shared" si="147"/>
        <v>1.0255738474942311</v>
      </c>
      <c r="Q1885" s="274">
        <f t="shared" si="147"/>
        <v>0.20710478158056236</v>
      </c>
      <c r="S1885" s="274">
        <f t="shared" si="148"/>
        <v>13.148084116901948</v>
      </c>
      <c r="T1885" s="274">
        <f t="shared" si="148"/>
        <v>1.0255738474942311</v>
      </c>
      <c r="U1885" s="274">
        <f t="shared" si="148"/>
        <v>0.20710478158056236</v>
      </c>
      <c r="W1885" s="274">
        <f t="shared" si="149"/>
        <v>18.417949682705512</v>
      </c>
      <c r="X1885" s="274">
        <f t="shared" si="149"/>
        <v>0.29809041705759121</v>
      </c>
      <c r="Y1885" s="274">
        <f t="shared" si="149"/>
        <v>0.1559122720007389</v>
      </c>
      <c r="AA1885" s="274">
        <f t="shared" si="150"/>
        <v>13.148084116901948</v>
      </c>
      <c r="AB1885" s="274">
        <f t="shared" si="150"/>
        <v>1.0255738474942311</v>
      </c>
      <c r="AC1885" s="274">
        <f t="shared" si="150"/>
        <v>0.20710478158056236</v>
      </c>
      <c r="AE1885" s="274">
        <f t="shared" si="151"/>
        <v>13.148084116901948</v>
      </c>
      <c r="AF1885" s="274">
        <f t="shared" si="151"/>
        <v>1.0255738474942311</v>
      </c>
      <c r="AG1885" s="274">
        <f t="shared" si="151"/>
        <v>0.20710478158056236</v>
      </c>
      <c r="AI1885" s="274">
        <f t="shared" si="152"/>
        <v>13.148084116901948</v>
      </c>
      <c r="AJ1885" s="274">
        <f t="shared" si="152"/>
        <v>1.0255738474942311</v>
      </c>
      <c r="AK1885" s="274">
        <f t="shared" si="152"/>
        <v>0.20710478158056236</v>
      </c>
      <c r="AL1885" s="265"/>
    </row>
    <row r="1886" spans="1:38">
      <c r="A1886" s="285" t="s">
        <v>72</v>
      </c>
      <c r="C1886" s="274">
        <f t="shared" si="144"/>
        <v>22.780931525330963</v>
      </c>
      <c r="D1886" s="274">
        <f t="shared" si="144"/>
        <v>0</v>
      </c>
      <c r="E1886" s="274">
        <f t="shared" si="144"/>
        <v>0</v>
      </c>
      <c r="G1886" s="274">
        <f t="shared" si="145"/>
        <v>19.232103336278669</v>
      </c>
      <c r="H1886" s="274">
        <f t="shared" si="145"/>
        <v>0.31126731276658925</v>
      </c>
      <c r="I1886" s="274">
        <f t="shared" si="145"/>
        <v>0.16280427399189901</v>
      </c>
      <c r="K1886" s="274">
        <f t="shared" si="146"/>
        <v>19.232103336278669</v>
      </c>
      <c r="L1886" s="274">
        <f t="shared" si="146"/>
        <v>0.31126731276658925</v>
      </c>
      <c r="M1886" s="274">
        <f t="shared" si="146"/>
        <v>0.16280427399189901</v>
      </c>
      <c r="O1886" s="274">
        <f t="shared" si="147"/>
        <v>13.729286742909471</v>
      </c>
      <c r="P1886" s="274">
        <f t="shared" si="147"/>
        <v>1.0709086816821294</v>
      </c>
      <c r="Q1886" s="274">
        <f t="shared" si="147"/>
        <v>0.21625971562594173</v>
      </c>
      <c r="S1886" s="274">
        <f t="shared" si="148"/>
        <v>13.729286742909471</v>
      </c>
      <c r="T1886" s="274">
        <f t="shared" si="148"/>
        <v>1.0709086816821294</v>
      </c>
      <c r="U1886" s="274">
        <f t="shared" si="148"/>
        <v>0.21625971562594173</v>
      </c>
      <c r="W1886" s="274">
        <f t="shared" si="149"/>
        <v>19.232103336278669</v>
      </c>
      <c r="X1886" s="274">
        <f t="shared" si="149"/>
        <v>0.31126731276658925</v>
      </c>
      <c r="Y1886" s="274">
        <f t="shared" si="149"/>
        <v>0.16280427399189901</v>
      </c>
      <c r="AA1886" s="274">
        <f t="shared" si="150"/>
        <v>13.729286742909471</v>
      </c>
      <c r="AB1886" s="274">
        <f t="shared" si="150"/>
        <v>1.0709086816821294</v>
      </c>
      <c r="AC1886" s="274">
        <f t="shared" si="150"/>
        <v>0.21625971562594173</v>
      </c>
      <c r="AE1886" s="274">
        <f t="shared" si="151"/>
        <v>13.729286742909471</v>
      </c>
      <c r="AF1886" s="274">
        <f t="shared" si="151"/>
        <v>1.0709086816821294</v>
      </c>
      <c r="AG1886" s="274">
        <f t="shared" si="151"/>
        <v>0.21625971562594173</v>
      </c>
      <c r="AI1886" s="274">
        <f t="shared" si="152"/>
        <v>13.729286742909471</v>
      </c>
      <c r="AJ1886" s="274">
        <f t="shared" si="152"/>
        <v>1.0709086816821294</v>
      </c>
      <c r="AK1886" s="274">
        <f t="shared" si="152"/>
        <v>0.21625971562594173</v>
      </c>
      <c r="AL1886" s="265"/>
    </row>
    <row r="1887" spans="1:38">
      <c r="A1887" s="285" t="s">
        <v>1178</v>
      </c>
      <c r="C1887" s="274">
        <f>C$1865</f>
        <v>24.865437920984643</v>
      </c>
      <c r="D1887" s="274">
        <f>D$1865</f>
        <v>0</v>
      </c>
      <c r="E1887" s="274">
        <f>E$1865</f>
        <v>0</v>
      </c>
      <c r="G1887" s="274">
        <f>G$1865</f>
        <v>20.993602005020652</v>
      </c>
      <c r="H1887" s="274">
        <f>H$1865</f>
        <v>0.3397767767328605</v>
      </c>
      <c r="I1887" s="274">
        <f>I$1865</f>
        <v>0.17771577414806064</v>
      </c>
      <c r="K1887" s="274">
        <f>K$1865</f>
        <v>20.993602005020652</v>
      </c>
      <c r="L1887" s="274">
        <f>L$1865</f>
        <v>0.3397767767328605</v>
      </c>
      <c r="M1887" s="274">
        <f>M$1865</f>
        <v>0.17771577414806064</v>
      </c>
      <c r="O1887" s="274">
        <f>O$1865</f>
        <v>14.985712266893355</v>
      </c>
      <c r="P1887" s="274">
        <f>P$1865</f>
        <v>1.1689120977893972</v>
      </c>
      <c r="Q1887" s="274">
        <f>Q$1865</f>
        <v>0.23605056358548754</v>
      </c>
      <c r="S1887" s="274">
        <f>S$1865</f>
        <v>14.985712266893355</v>
      </c>
      <c r="T1887" s="274">
        <f>T$1865</f>
        <v>1.1689120977893972</v>
      </c>
      <c r="U1887" s="274">
        <f>U$1865</f>
        <v>0.23605056358548754</v>
      </c>
      <c r="W1887" s="274">
        <f>W$1865</f>
        <v>20.993602005020652</v>
      </c>
      <c r="X1887" s="274">
        <f>X$1865</f>
        <v>0.3397767767328605</v>
      </c>
      <c r="Y1887" s="274">
        <f>Y$1865</f>
        <v>0.17771577414806064</v>
      </c>
      <c r="AA1887" s="274">
        <f>AA$1865</f>
        <v>14.985712266893355</v>
      </c>
      <c r="AB1887" s="274">
        <f>AB$1865</f>
        <v>1.1689120977893972</v>
      </c>
      <c r="AC1887" s="274">
        <f>AC$1865</f>
        <v>0.23605056358548754</v>
      </c>
      <c r="AE1887" s="274">
        <f>AE$1865</f>
        <v>14.985712266893355</v>
      </c>
      <c r="AF1887" s="274">
        <f>AF$1865</f>
        <v>1.1689120977893972</v>
      </c>
      <c r="AG1887" s="274">
        <f>AG$1865</f>
        <v>0.23605056358548754</v>
      </c>
      <c r="AI1887" s="274">
        <f>AI$1865</f>
        <v>14.985712266893355</v>
      </c>
      <c r="AJ1887" s="274">
        <f>AJ$1865</f>
        <v>1.1689120977893972</v>
      </c>
      <c r="AK1887" s="274">
        <f>AK$1865</f>
        <v>0.23605056358548754</v>
      </c>
      <c r="AL1887" s="265"/>
    </row>
    <row r="1888" spans="1:38">
      <c r="A1888" s="285" t="s">
        <v>1177</v>
      </c>
      <c r="C1888" s="274">
        <f>C$1866</f>
        <v>25.361849273976436</v>
      </c>
      <c r="D1888" s="274">
        <f>D$1866</f>
        <v>0</v>
      </c>
      <c r="E1888" s="274">
        <f>E$1866</f>
        <v>0</v>
      </c>
      <c r="G1888" s="274">
        <f>G$1866</f>
        <v>21.405074627065989</v>
      </c>
      <c r="H1888" s="274">
        <f>H$1866</f>
        <v>0.34643636955542373</v>
      </c>
      <c r="I1888" s="274">
        <f>I$1866</f>
        <v>0.18119898658345079</v>
      </c>
      <c r="K1888" s="274">
        <f>K$1866</f>
        <v>21.405074627065989</v>
      </c>
      <c r="L1888" s="274">
        <f>L$1866</f>
        <v>0.34643636955542373</v>
      </c>
      <c r="M1888" s="274">
        <f>M$1866</f>
        <v>0.18119898658345079</v>
      </c>
      <c r="O1888" s="274">
        <f>O$1866</f>
        <v>15.284694605273966</v>
      </c>
      <c r="P1888" s="274">
        <f>P$1866</f>
        <v>1.1922332497062502</v>
      </c>
      <c r="Q1888" s="274">
        <f>Q$1866</f>
        <v>0.24076004607253396</v>
      </c>
      <c r="S1888" s="274">
        <f>S$1866</f>
        <v>15.284694605273966</v>
      </c>
      <c r="T1888" s="274">
        <f>T$1866</f>
        <v>1.1922332497062502</v>
      </c>
      <c r="U1888" s="274">
        <f>U$1866</f>
        <v>0.24076004607253396</v>
      </c>
      <c r="W1888" s="274">
        <f>W$1866</f>
        <v>21.405074627065989</v>
      </c>
      <c r="X1888" s="274">
        <f>X$1866</f>
        <v>0.34643636955542373</v>
      </c>
      <c r="Y1888" s="274">
        <f>Y$1866</f>
        <v>0.18119898658345079</v>
      </c>
      <c r="AA1888" s="274">
        <f>AA$1866</f>
        <v>15.284694605273966</v>
      </c>
      <c r="AB1888" s="274">
        <f>AB$1866</f>
        <v>1.1922332497062502</v>
      </c>
      <c r="AC1888" s="274">
        <f>AC$1866</f>
        <v>0.24076004607253396</v>
      </c>
      <c r="AE1888" s="274">
        <f>AE$1866</f>
        <v>15.284694605273966</v>
      </c>
      <c r="AF1888" s="274">
        <f>AF$1866</f>
        <v>1.1922332497062502</v>
      </c>
      <c r="AG1888" s="274">
        <f>AG$1866</f>
        <v>0.24076004607253396</v>
      </c>
      <c r="AI1888" s="274">
        <f>AI$1866</f>
        <v>15.284694605273966</v>
      </c>
      <c r="AJ1888" s="274">
        <f>AJ$1866</f>
        <v>1.1922332497062502</v>
      </c>
      <c r="AK1888" s="274">
        <f>AK$1866</f>
        <v>0.24076004607253396</v>
      </c>
      <c r="AL1888" s="265"/>
    </row>
    <row r="1889" spans="1:38">
      <c r="A1889" s="285" t="s">
        <v>60</v>
      </c>
      <c r="C1889" s="274">
        <f t="shared" ref="C1889:E1897" si="153">C1604</f>
        <v>20.014136550733021</v>
      </c>
      <c r="D1889" s="274">
        <f t="shared" si="153"/>
        <v>0</v>
      </c>
      <c r="E1889" s="274">
        <f t="shared" si="153"/>
        <v>0</v>
      </c>
      <c r="G1889" s="274">
        <f t="shared" ref="G1889:I1897" si="154">G1604</f>
        <v>16.89632146526095</v>
      </c>
      <c r="H1889" s="274">
        <f t="shared" si="154"/>
        <v>0.27346320296705845</v>
      </c>
      <c r="I1889" s="274">
        <f t="shared" si="154"/>
        <v>0.14303133158069933</v>
      </c>
      <c r="K1889" s="274">
        <f t="shared" ref="K1889:M1897" si="155">K1604</f>
        <v>16.89632146526095</v>
      </c>
      <c r="L1889" s="274">
        <f t="shared" si="155"/>
        <v>0.27346320296705845</v>
      </c>
      <c r="M1889" s="274">
        <f t="shared" si="155"/>
        <v>0.14303133158069933</v>
      </c>
      <c r="O1889" s="274">
        <f t="shared" ref="O1889:Q1897" si="156">O1604</f>
        <v>12.061834227947216</v>
      </c>
      <c r="P1889" s="274">
        <f t="shared" si="156"/>
        <v>0.94084443231476822</v>
      </c>
      <c r="Q1889" s="274">
        <f t="shared" si="156"/>
        <v>0.18999449053027295</v>
      </c>
      <c r="S1889" s="274">
        <f t="shared" ref="S1889:U1897" si="157">S1604</f>
        <v>12.061834227947216</v>
      </c>
      <c r="T1889" s="274">
        <f t="shared" si="157"/>
        <v>0.94084443231476822</v>
      </c>
      <c r="U1889" s="274">
        <f t="shared" si="157"/>
        <v>0.18999449053027295</v>
      </c>
      <c r="W1889" s="274">
        <f t="shared" ref="W1889:Y1897" si="158">W1604</f>
        <v>16.89632146526095</v>
      </c>
      <c r="X1889" s="274">
        <f t="shared" si="158"/>
        <v>0.27346320296705845</v>
      </c>
      <c r="Y1889" s="274">
        <f t="shared" si="158"/>
        <v>0.14303133158069933</v>
      </c>
      <c r="AA1889" s="274">
        <f t="shared" ref="AA1889:AC1897" si="159">AA1604</f>
        <v>12.061834227947216</v>
      </c>
      <c r="AB1889" s="274">
        <f t="shared" si="159"/>
        <v>0.94084443231476822</v>
      </c>
      <c r="AC1889" s="274">
        <f t="shared" si="159"/>
        <v>0.18999449053027295</v>
      </c>
      <c r="AE1889" s="274">
        <f t="shared" ref="AE1889:AG1897" si="160">AE1604</f>
        <v>12.061834227947216</v>
      </c>
      <c r="AF1889" s="274">
        <f t="shared" si="160"/>
        <v>0.94084443231476822</v>
      </c>
      <c r="AG1889" s="274">
        <f t="shared" si="160"/>
        <v>0.18999449053027295</v>
      </c>
      <c r="AI1889" s="274">
        <f t="shared" ref="AI1889:AK1897" si="161">AI1604</f>
        <v>12.061834227947216</v>
      </c>
      <c r="AJ1889" s="274">
        <f t="shared" si="161"/>
        <v>0.94084443231476822</v>
      </c>
      <c r="AK1889" s="274">
        <f t="shared" si="161"/>
        <v>0.18999449053027295</v>
      </c>
      <c r="AL1889" s="265"/>
    </row>
    <row r="1890" spans="1:38">
      <c r="A1890" s="285" t="s">
        <v>61</v>
      </c>
      <c r="C1890" s="274">
        <f t="shared" si="153"/>
        <v>19.088664804564541</v>
      </c>
      <c r="D1890" s="274">
        <f t="shared" si="153"/>
        <v>0</v>
      </c>
      <c r="E1890" s="274">
        <f t="shared" si="153"/>
        <v>0</v>
      </c>
      <c r="G1890" s="274">
        <f t="shared" si="154"/>
        <v>16.11502030392225</v>
      </c>
      <c r="H1890" s="274">
        <f t="shared" si="154"/>
        <v>0.26081801753419093</v>
      </c>
      <c r="I1890" s="274">
        <f t="shared" si="154"/>
        <v>0.1364174336561374</v>
      </c>
      <c r="K1890" s="274">
        <f t="shared" si="155"/>
        <v>16.11502030392225</v>
      </c>
      <c r="L1890" s="274">
        <f t="shared" si="155"/>
        <v>0.26081801753419093</v>
      </c>
      <c r="M1890" s="274">
        <f t="shared" si="155"/>
        <v>0.1364174336561374</v>
      </c>
      <c r="O1890" s="274">
        <f t="shared" si="156"/>
        <v>11.504084121834133</v>
      </c>
      <c r="P1890" s="274">
        <f t="shared" si="156"/>
        <v>0.89733893621504512</v>
      </c>
      <c r="Q1890" s="274">
        <f t="shared" si="156"/>
        <v>0.18120897372979911</v>
      </c>
      <c r="S1890" s="274">
        <f t="shared" si="157"/>
        <v>11.504084121834133</v>
      </c>
      <c r="T1890" s="274">
        <f t="shared" si="157"/>
        <v>0.89733893621504512</v>
      </c>
      <c r="U1890" s="274">
        <f t="shared" si="157"/>
        <v>0.18120897372979911</v>
      </c>
      <c r="W1890" s="274">
        <f t="shared" si="158"/>
        <v>16.11502030392225</v>
      </c>
      <c r="X1890" s="274">
        <f t="shared" si="158"/>
        <v>0.26081801753419093</v>
      </c>
      <c r="Y1890" s="274">
        <f t="shared" si="158"/>
        <v>0.1364174336561374</v>
      </c>
      <c r="AA1890" s="274">
        <f t="shared" si="159"/>
        <v>11.504084121834133</v>
      </c>
      <c r="AB1890" s="274">
        <f t="shared" si="159"/>
        <v>0.89733893621504512</v>
      </c>
      <c r="AC1890" s="274">
        <f t="shared" si="159"/>
        <v>0.18120897372979911</v>
      </c>
      <c r="AE1890" s="274">
        <f t="shared" si="160"/>
        <v>11.504084121834133</v>
      </c>
      <c r="AF1890" s="274">
        <f t="shared" si="160"/>
        <v>0.89733893621504512</v>
      </c>
      <c r="AG1890" s="274">
        <f t="shared" si="160"/>
        <v>0.18120897372979911</v>
      </c>
      <c r="AI1890" s="274">
        <f t="shared" si="161"/>
        <v>11.504084121834133</v>
      </c>
      <c r="AJ1890" s="274">
        <f t="shared" si="161"/>
        <v>0.89733893621504512</v>
      </c>
      <c r="AK1890" s="274">
        <f t="shared" si="161"/>
        <v>0.18120897372979911</v>
      </c>
      <c r="AL1890" s="265"/>
    </row>
    <row r="1891" spans="1:38">
      <c r="A1891" s="285" t="s">
        <v>73</v>
      </c>
      <c r="C1891" s="274">
        <f t="shared" si="153"/>
        <v>17.53867433216071</v>
      </c>
      <c r="D1891" s="274">
        <f t="shared" si="153"/>
        <v>0</v>
      </c>
      <c r="E1891" s="274">
        <f t="shared" si="153"/>
        <v>0</v>
      </c>
      <c r="G1891" s="274">
        <f t="shared" si="154"/>
        <v>14.806488345851461</v>
      </c>
      <c r="H1891" s="274">
        <f t="shared" si="154"/>
        <v>0.23963971898118888</v>
      </c>
      <c r="I1891" s="274">
        <f t="shared" si="154"/>
        <v>0.12534040314606038</v>
      </c>
      <c r="K1891" s="274">
        <f t="shared" si="155"/>
        <v>14.806488345851461</v>
      </c>
      <c r="L1891" s="274">
        <f t="shared" si="155"/>
        <v>0.23963971898118888</v>
      </c>
      <c r="M1891" s="274">
        <f t="shared" si="155"/>
        <v>0.12534040314606038</v>
      </c>
      <c r="O1891" s="274">
        <f t="shared" si="156"/>
        <v>10.569957981261366</v>
      </c>
      <c r="P1891" s="274">
        <f t="shared" si="156"/>
        <v>0.82447544283347973</v>
      </c>
      <c r="Q1891" s="274">
        <f t="shared" si="156"/>
        <v>0.16649489154170902</v>
      </c>
      <c r="S1891" s="274">
        <f t="shared" si="157"/>
        <v>10.569957981261366</v>
      </c>
      <c r="T1891" s="274">
        <f t="shared" si="157"/>
        <v>0.82447544283347973</v>
      </c>
      <c r="U1891" s="274">
        <f t="shared" si="157"/>
        <v>0.16649489154170902</v>
      </c>
      <c r="W1891" s="274">
        <f t="shared" si="158"/>
        <v>14.806488345851461</v>
      </c>
      <c r="X1891" s="274">
        <f t="shared" si="158"/>
        <v>0.23963971898118888</v>
      </c>
      <c r="Y1891" s="274">
        <f t="shared" si="158"/>
        <v>0.12534040314606038</v>
      </c>
      <c r="AA1891" s="274">
        <f t="shared" si="159"/>
        <v>10.569957981261366</v>
      </c>
      <c r="AB1891" s="274">
        <f t="shared" si="159"/>
        <v>0.82447544283347973</v>
      </c>
      <c r="AC1891" s="274">
        <f t="shared" si="159"/>
        <v>0.16649489154170902</v>
      </c>
      <c r="AE1891" s="274">
        <f t="shared" si="160"/>
        <v>10.569957981261366</v>
      </c>
      <c r="AF1891" s="274">
        <f t="shared" si="160"/>
        <v>0.82447544283347973</v>
      </c>
      <c r="AG1891" s="274">
        <f t="shared" si="160"/>
        <v>0.16649489154170902</v>
      </c>
      <c r="AI1891" s="274">
        <f t="shared" si="161"/>
        <v>10.569957981261366</v>
      </c>
      <c r="AJ1891" s="274">
        <f t="shared" si="161"/>
        <v>0.82447544283347973</v>
      </c>
      <c r="AK1891" s="274">
        <f t="shared" si="161"/>
        <v>0.16649489154170902</v>
      </c>
      <c r="AL1891" s="265"/>
    </row>
    <row r="1892" spans="1:38">
      <c r="A1892" s="285" t="s">
        <v>64</v>
      </c>
      <c r="C1892" s="274">
        <f t="shared" si="153"/>
        <v>-16.7816091954023</v>
      </c>
      <c r="D1892" s="274">
        <f t="shared" si="153"/>
        <v>0</v>
      </c>
      <c r="E1892" s="274">
        <f t="shared" si="153"/>
        <v>0</v>
      </c>
      <c r="G1892" s="274">
        <f t="shared" si="154"/>
        <v>-14.167359303817252</v>
      </c>
      <c r="H1892" s="274">
        <f t="shared" si="154"/>
        <v>-0.22929555766162066</v>
      </c>
      <c r="I1892" s="274">
        <f t="shared" si="154"/>
        <v>-0.11993002561968572</v>
      </c>
      <c r="K1892" s="274">
        <f t="shared" si="155"/>
        <v>-14.167359303817252</v>
      </c>
      <c r="L1892" s="274">
        <f t="shared" si="155"/>
        <v>-0.22929555766162066</v>
      </c>
      <c r="M1892" s="274">
        <f t="shared" si="155"/>
        <v>-0.11993002561968572</v>
      </c>
      <c r="O1892" s="274">
        <f t="shared" si="156"/>
        <v>-10.113700767456972</v>
      </c>
      <c r="P1892" s="274">
        <f t="shared" si="156"/>
        <v>-0.78888657208638369</v>
      </c>
      <c r="Q1892" s="274">
        <f t="shared" si="156"/>
        <v>-0.15930806114350346</v>
      </c>
      <c r="S1892" s="274">
        <f t="shared" si="157"/>
        <v>-10.113700767456972</v>
      </c>
      <c r="T1892" s="274">
        <f t="shared" si="157"/>
        <v>-0.78888657208638369</v>
      </c>
      <c r="U1892" s="274">
        <f t="shared" si="157"/>
        <v>-0.15930806114350346</v>
      </c>
      <c r="W1892" s="274">
        <f t="shared" si="158"/>
        <v>-14.167359303817252</v>
      </c>
      <c r="X1892" s="274">
        <f t="shared" si="158"/>
        <v>-0.22929555766162066</v>
      </c>
      <c r="Y1892" s="274">
        <f t="shared" si="158"/>
        <v>-0.11993002561968572</v>
      </c>
      <c r="AA1892" s="274">
        <f t="shared" si="159"/>
        <v>-10.113700767456972</v>
      </c>
      <c r="AB1892" s="274">
        <f t="shared" si="159"/>
        <v>-0.78888657208638369</v>
      </c>
      <c r="AC1892" s="274">
        <f t="shared" si="159"/>
        <v>-0.15930806114350346</v>
      </c>
      <c r="AE1892" s="274">
        <f t="shared" si="160"/>
        <v>-10.113700767456972</v>
      </c>
      <c r="AF1892" s="274">
        <f t="shared" si="160"/>
        <v>-0.78888657208638369</v>
      </c>
      <c r="AG1892" s="274">
        <f t="shared" si="160"/>
        <v>-0.15930806114350346</v>
      </c>
      <c r="AI1892" s="274">
        <f t="shared" si="161"/>
        <v>-10.113700767456972</v>
      </c>
      <c r="AJ1892" s="274">
        <f t="shared" si="161"/>
        <v>-0.78888657208638369</v>
      </c>
      <c r="AK1892" s="274">
        <f t="shared" si="161"/>
        <v>-0.15930806114350346</v>
      </c>
      <c r="AL1892" s="265"/>
    </row>
    <row r="1893" spans="1:38">
      <c r="A1893" s="285" t="s">
        <v>1517</v>
      </c>
      <c r="C1893" s="274">
        <f t="shared" si="153"/>
        <v>-16.7816091954023</v>
      </c>
      <c r="D1893" s="274">
        <f t="shared" si="153"/>
        <v>0</v>
      </c>
      <c r="E1893" s="274">
        <f t="shared" si="153"/>
        <v>0</v>
      </c>
      <c r="G1893" s="274">
        <f t="shared" si="154"/>
        <v>-14.167359303817252</v>
      </c>
      <c r="H1893" s="274">
        <f t="shared" si="154"/>
        <v>-0.22929555766162066</v>
      </c>
      <c r="I1893" s="274">
        <f t="shared" si="154"/>
        <v>-0.11993002561968572</v>
      </c>
      <c r="K1893" s="274">
        <f t="shared" si="155"/>
        <v>-14.167359303817252</v>
      </c>
      <c r="L1893" s="274">
        <f t="shared" si="155"/>
        <v>-0.22929555766162066</v>
      </c>
      <c r="M1893" s="274">
        <f t="shared" si="155"/>
        <v>-0.11993002561968572</v>
      </c>
      <c r="O1893" s="274">
        <f t="shared" si="156"/>
        <v>-10.113700767456972</v>
      </c>
      <c r="P1893" s="274">
        <f t="shared" si="156"/>
        <v>-0.78888657208638369</v>
      </c>
      <c r="Q1893" s="274">
        <f t="shared" si="156"/>
        <v>-0.15930806114350346</v>
      </c>
      <c r="S1893" s="274">
        <f t="shared" si="157"/>
        <v>-10.113700767456972</v>
      </c>
      <c r="T1893" s="274">
        <f t="shared" si="157"/>
        <v>-0.78888657208638369</v>
      </c>
      <c r="U1893" s="274">
        <f t="shared" si="157"/>
        <v>-0.15930806114350346</v>
      </c>
      <c r="W1893" s="274">
        <f t="shared" si="158"/>
        <v>-14.167359303817252</v>
      </c>
      <c r="X1893" s="274">
        <f t="shared" si="158"/>
        <v>-0.22929555766162066</v>
      </c>
      <c r="Y1893" s="274">
        <f t="shared" si="158"/>
        <v>-0.11993002561968572</v>
      </c>
      <c r="AA1893" s="274">
        <f t="shared" si="159"/>
        <v>-10.113700767456972</v>
      </c>
      <c r="AB1893" s="274">
        <f t="shared" si="159"/>
        <v>-0.78888657208638369</v>
      </c>
      <c r="AC1893" s="274">
        <f t="shared" si="159"/>
        <v>-0.15930806114350346</v>
      </c>
      <c r="AE1893" s="274">
        <f t="shared" si="160"/>
        <v>-10.113700767456972</v>
      </c>
      <c r="AF1893" s="274">
        <f t="shared" si="160"/>
        <v>-0.78888657208638369</v>
      </c>
      <c r="AG1893" s="274">
        <f t="shared" si="160"/>
        <v>-0.15930806114350346</v>
      </c>
      <c r="AI1893" s="274">
        <f t="shared" si="161"/>
        <v>-10.113700767456972</v>
      </c>
      <c r="AJ1893" s="274">
        <f t="shared" si="161"/>
        <v>-0.78888657208638369</v>
      </c>
      <c r="AK1893" s="274">
        <f t="shared" si="161"/>
        <v>-0.15930806114350346</v>
      </c>
      <c r="AL1893" s="265"/>
    </row>
    <row r="1894" spans="1:38">
      <c r="A1894" s="285" t="s">
        <v>66</v>
      </c>
      <c r="C1894" s="274">
        <f t="shared" si="153"/>
        <v>-16.7816091954023</v>
      </c>
      <c r="D1894" s="274">
        <f t="shared" si="153"/>
        <v>0</v>
      </c>
      <c r="E1894" s="274">
        <f t="shared" si="153"/>
        <v>0</v>
      </c>
      <c r="G1894" s="274">
        <f t="shared" si="154"/>
        <v>-14.167359303817252</v>
      </c>
      <c r="H1894" s="274">
        <f t="shared" si="154"/>
        <v>-0.22929555766162066</v>
      </c>
      <c r="I1894" s="274">
        <f t="shared" si="154"/>
        <v>-0.11993002561968572</v>
      </c>
      <c r="K1894" s="274">
        <f t="shared" si="155"/>
        <v>-14.167359303817252</v>
      </c>
      <c r="L1894" s="274">
        <f t="shared" si="155"/>
        <v>-0.22929555766162066</v>
      </c>
      <c r="M1894" s="274">
        <f t="shared" si="155"/>
        <v>-0.11993002561968572</v>
      </c>
      <c r="O1894" s="274">
        <f t="shared" si="156"/>
        <v>-10.113700767456972</v>
      </c>
      <c r="P1894" s="274">
        <f t="shared" si="156"/>
        <v>-0.78888657208638369</v>
      </c>
      <c r="Q1894" s="274">
        <f t="shared" si="156"/>
        <v>-0.15930806114350346</v>
      </c>
      <c r="S1894" s="274">
        <f t="shared" si="157"/>
        <v>-10.113700767456972</v>
      </c>
      <c r="T1894" s="274">
        <f t="shared" si="157"/>
        <v>-0.78888657208638369</v>
      </c>
      <c r="U1894" s="274">
        <f t="shared" si="157"/>
        <v>-0.15930806114350346</v>
      </c>
      <c r="W1894" s="274">
        <f t="shared" si="158"/>
        <v>-14.167359303817252</v>
      </c>
      <c r="X1894" s="274">
        <f t="shared" si="158"/>
        <v>-0.22929555766162066</v>
      </c>
      <c r="Y1894" s="274">
        <f t="shared" si="158"/>
        <v>-0.11993002561968572</v>
      </c>
      <c r="AA1894" s="274">
        <f t="shared" si="159"/>
        <v>-10.113700767456972</v>
      </c>
      <c r="AB1894" s="274">
        <f t="shared" si="159"/>
        <v>-0.78888657208638369</v>
      </c>
      <c r="AC1894" s="274">
        <f t="shared" si="159"/>
        <v>-0.15930806114350346</v>
      </c>
      <c r="AE1894" s="274">
        <f t="shared" si="160"/>
        <v>-10.113700767456972</v>
      </c>
      <c r="AF1894" s="274">
        <f t="shared" si="160"/>
        <v>-0.78888657208638369</v>
      </c>
      <c r="AG1894" s="274">
        <f t="shared" si="160"/>
        <v>-0.15930806114350346</v>
      </c>
      <c r="AI1894" s="274">
        <f t="shared" si="161"/>
        <v>-10.113700767456972</v>
      </c>
      <c r="AJ1894" s="274">
        <f t="shared" si="161"/>
        <v>-0.78888657208638369</v>
      </c>
      <c r="AK1894" s="274">
        <f t="shared" si="161"/>
        <v>-0.15930806114350346</v>
      </c>
      <c r="AL1894" s="265"/>
    </row>
    <row r="1895" spans="1:38">
      <c r="A1895" s="285" t="s">
        <v>1519</v>
      </c>
      <c r="C1895" s="274">
        <f t="shared" si="153"/>
        <v>-16.7816091954023</v>
      </c>
      <c r="D1895" s="274">
        <f t="shared" si="153"/>
        <v>0</v>
      </c>
      <c r="E1895" s="274">
        <f t="shared" si="153"/>
        <v>0</v>
      </c>
      <c r="G1895" s="274">
        <f t="shared" si="154"/>
        <v>-14.167359303817252</v>
      </c>
      <c r="H1895" s="274">
        <f t="shared" si="154"/>
        <v>-0.22929555766162066</v>
      </c>
      <c r="I1895" s="274">
        <f t="shared" si="154"/>
        <v>-0.11993002561968572</v>
      </c>
      <c r="K1895" s="274">
        <f t="shared" si="155"/>
        <v>-14.167359303817252</v>
      </c>
      <c r="L1895" s="274">
        <f t="shared" si="155"/>
        <v>-0.22929555766162066</v>
      </c>
      <c r="M1895" s="274">
        <f t="shared" si="155"/>
        <v>-0.11993002561968572</v>
      </c>
      <c r="O1895" s="274">
        <f t="shared" si="156"/>
        <v>-10.113700767456972</v>
      </c>
      <c r="P1895" s="274">
        <f t="shared" si="156"/>
        <v>-0.78888657208638369</v>
      </c>
      <c r="Q1895" s="274">
        <f t="shared" si="156"/>
        <v>-0.15930806114350346</v>
      </c>
      <c r="S1895" s="274">
        <f t="shared" si="157"/>
        <v>-10.113700767456972</v>
      </c>
      <c r="T1895" s="274">
        <f t="shared" si="157"/>
        <v>-0.78888657208638369</v>
      </c>
      <c r="U1895" s="274">
        <f t="shared" si="157"/>
        <v>-0.15930806114350346</v>
      </c>
      <c r="W1895" s="274">
        <f t="shared" si="158"/>
        <v>-14.167359303817252</v>
      </c>
      <c r="X1895" s="274">
        <f t="shared" si="158"/>
        <v>-0.22929555766162066</v>
      </c>
      <c r="Y1895" s="274">
        <f t="shared" si="158"/>
        <v>-0.11993002561968572</v>
      </c>
      <c r="AA1895" s="274">
        <f t="shared" si="159"/>
        <v>-10.113700767456972</v>
      </c>
      <c r="AB1895" s="274">
        <f t="shared" si="159"/>
        <v>-0.78888657208638369</v>
      </c>
      <c r="AC1895" s="274">
        <f t="shared" si="159"/>
        <v>-0.15930806114350346</v>
      </c>
      <c r="AE1895" s="274">
        <f t="shared" si="160"/>
        <v>-10.113700767456972</v>
      </c>
      <c r="AF1895" s="274">
        <f t="shared" si="160"/>
        <v>-0.78888657208638369</v>
      </c>
      <c r="AG1895" s="274">
        <f t="shared" si="160"/>
        <v>-0.15930806114350346</v>
      </c>
      <c r="AI1895" s="274">
        <f t="shared" si="161"/>
        <v>-10.113700767456972</v>
      </c>
      <c r="AJ1895" s="274">
        <f t="shared" si="161"/>
        <v>-0.78888657208638369</v>
      </c>
      <c r="AK1895" s="274">
        <f t="shared" si="161"/>
        <v>-0.15930806114350346</v>
      </c>
      <c r="AL1895" s="265"/>
    </row>
    <row r="1896" spans="1:38">
      <c r="A1896" s="285" t="s">
        <v>75</v>
      </c>
      <c r="C1896" s="274">
        <f t="shared" si="153"/>
        <v>-16.7816091954023</v>
      </c>
      <c r="D1896" s="274">
        <f t="shared" si="153"/>
        <v>0</v>
      </c>
      <c r="E1896" s="274">
        <f t="shared" si="153"/>
        <v>0</v>
      </c>
      <c r="G1896" s="274">
        <f t="shared" si="154"/>
        <v>-14.167359303817252</v>
      </c>
      <c r="H1896" s="274">
        <f t="shared" si="154"/>
        <v>-0.22929555766162066</v>
      </c>
      <c r="I1896" s="274">
        <f t="shared" si="154"/>
        <v>-0.11993002561968572</v>
      </c>
      <c r="K1896" s="274">
        <f t="shared" si="155"/>
        <v>-14.167359303817252</v>
      </c>
      <c r="L1896" s="274">
        <f t="shared" si="155"/>
        <v>-0.22929555766162066</v>
      </c>
      <c r="M1896" s="274">
        <f t="shared" si="155"/>
        <v>-0.11993002561968572</v>
      </c>
      <c r="O1896" s="274">
        <f t="shared" si="156"/>
        <v>-10.113700767456972</v>
      </c>
      <c r="P1896" s="274">
        <f t="shared" si="156"/>
        <v>-0.78888657208638369</v>
      </c>
      <c r="Q1896" s="274">
        <f t="shared" si="156"/>
        <v>-0.15930806114350346</v>
      </c>
      <c r="S1896" s="274">
        <f t="shared" si="157"/>
        <v>-10.113700767456972</v>
      </c>
      <c r="T1896" s="274">
        <f t="shared" si="157"/>
        <v>-0.78888657208638369</v>
      </c>
      <c r="U1896" s="274">
        <f t="shared" si="157"/>
        <v>-0.15930806114350346</v>
      </c>
      <c r="W1896" s="274">
        <f t="shared" si="158"/>
        <v>-14.167359303817252</v>
      </c>
      <c r="X1896" s="274">
        <f t="shared" si="158"/>
        <v>-0.22929555766162066</v>
      </c>
      <c r="Y1896" s="274">
        <f t="shared" si="158"/>
        <v>-0.11993002561968572</v>
      </c>
      <c r="AA1896" s="274">
        <f t="shared" si="159"/>
        <v>-10.113700767456972</v>
      </c>
      <c r="AB1896" s="274">
        <f t="shared" si="159"/>
        <v>-0.78888657208638369</v>
      </c>
      <c r="AC1896" s="274">
        <f t="shared" si="159"/>
        <v>-0.15930806114350346</v>
      </c>
      <c r="AE1896" s="274">
        <f t="shared" si="160"/>
        <v>-10.113700767456972</v>
      </c>
      <c r="AF1896" s="274">
        <f t="shared" si="160"/>
        <v>-0.78888657208638369</v>
      </c>
      <c r="AG1896" s="274">
        <f t="shared" si="160"/>
        <v>-0.15930806114350346</v>
      </c>
      <c r="AI1896" s="274">
        <f t="shared" si="161"/>
        <v>-10.113700767456972</v>
      </c>
      <c r="AJ1896" s="274">
        <f t="shared" si="161"/>
        <v>-0.78888657208638369</v>
      </c>
      <c r="AK1896" s="274">
        <f t="shared" si="161"/>
        <v>-0.15930806114350346</v>
      </c>
      <c r="AL1896" s="265"/>
    </row>
    <row r="1897" spans="1:38">
      <c r="A1897" s="285" t="s">
        <v>1521</v>
      </c>
      <c r="C1897" s="274">
        <f t="shared" si="153"/>
        <v>-16.7816091954023</v>
      </c>
      <c r="D1897" s="274">
        <f t="shared" si="153"/>
        <v>0</v>
      </c>
      <c r="E1897" s="274">
        <f t="shared" si="153"/>
        <v>0</v>
      </c>
      <c r="G1897" s="274">
        <f t="shared" si="154"/>
        <v>-14.167359303817252</v>
      </c>
      <c r="H1897" s="274">
        <f t="shared" si="154"/>
        <v>-0.22929555766162066</v>
      </c>
      <c r="I1897" s="274">
        <f t="shared" si="154"/>
        <v>-0.11993002561968572</v>
      </c>
      <c r="K1897" s="274">
        <f t="shared" si="155"/>
        <v>-14.167359303817252</v>
      </c>
      <c r="L1897" s="274">
        <f t="shared" si="155"/>
        <v>-0.22929555766162066</v>
      </c>
      <c r="M1897" s="274">
        <f t="shared" si="155"/>
        <v>-0.11993002561968572</v>
      </c>
      <c r="O1897" s="274">
        <f t="shared" si="156"/>
        <v>-10.113700767456972</v>
      </c>
      <c r="P1897" s="274">
        <f t="shared" si="156"/>
        <v>-0.78888657208638369</v>
      </c>
      <c r="Q1897" s="274">
        <f t="shared" si="156"/>
        <v>-0.15930806114350346</v>
      </c>
      <c r="S1897" s="274">
        <f t="shared" si="157"/>
        <v>-10.113700767456972</v>
      </c>
      <c r="T1897" s="274">
        <f t="shared" si="157"/>
        <v>-0.78888657208638369</v>
      </c>
      <c r="U1897" s="274">
        <f t="shared" si="157"/>
        <v>-0.15930806114350346</v>
      </c>
      <c r="W1897" s="274">
        <f t="shared" si="158"/>
        <v>-14.167359303817252</v>
      </c>
      <c r="X1897" s="274">
        <f t="shared" si="158"/>
        <v>-0.22929555766162066</v>
      </c>
      <c r="Y1897" s="274">
        <f t="shared" si="158"/>
        <v>-0.11993002561968572</v>
      </c>
      <c r="AA1897" s="274">
        <f t="shared" si="159"/>
        <v>-10.113700767456972</v>
      </c>
      <c r="AB1897" s="274">
        <f t="shared" si="159"/>
        <v>-0.78888657208638369</v>
      </c>
      <c r="AC1897" s="274">
        <f t="shared" si="159"/>
        <v>-0.15930806114350346</v>
      </c>
      <c r="AE1897" s="274">
        <f t="shared" si="160"/>
        <v>-10.113700767456972</v>
      </c>
      <c r="AF1897" s="274">
        <f t="shared" si="160"/>
        <v>-0.78888657208638369</v>
      </c>
      <c r="AG1897" s="274">
        <f t="shared" si="160"/>
        <v>-0.15930806114350346</v>
      </c>
      <c r="AI1897" s="274">
        <f t="shared" si="161"/>
        <v>-10.113700767456972</v>
      </c>
      <c r="AJ1897" s="274">
        <f t="shared" si="161"/>
        <v>-0.78888657208638369</v>
      </c>
      <c r="AK1897" s="274">
        <f t="shared" si="161"/>
        <v>-0.15930806114350346</v>
      </c>
      <c r="AL1897" s="265"/>
    </row>
    <row r="1899" spans="1:38" ht="21" customHeight="1">
      <c r="A1899" s="1" t="s">
        <v>1312</v>
      </c>
    </row>
    <row r="1900" spans="1:38">
      <c r="A1900" s="264" t="s">
        <v>217</v>
      </c>
    </row>
    <row r="1901" spans="1:38">
      <c r="A1901" s="269" t="s">
        <v>1313</v>
      </c>
    </row>
    <row r="1902" spans="1:38">
      <c r="A1902" s="269" t="s">
        <v>461</v>
      </c>
    </row>
    <row r="1903" spans="1:38">
      <c r="A1903" s="264" t="s">
        <v>230</v>
      </c>
    </row>
    <row r="1905" spans="1:11">
      <c r="B1905" s="284" t="s">
        <v>22</v>
      </c>
      <c r="C1905" s="284" t="s">
        <v>23</v>
      </c>
      <c r="D1905" s="284" t="s">
        <v>24</v>
      </c>
      <c r="E1905" s="284" t="s">
        <v>25</v>
      </c>
      <c r="F1905" s="284" t="s">
        <v>26</v>
      </c>
      <c r="G1905" s="284" t="s">
        <v>31</v>
      </c>
      <c r="H1905" s="284" t="s">
        <v>27</v>
      </c>
      <c r="I1905" s="284" t="s">
        <v>28</v>
      </c>
      <c r="J1905" s="284" t="s">
        <v>29</v>
      </c>
    </row>
    <row r="1906" spans="1:11">
      <c r="A1906" s="285" t="s">
        <v>54</v>
      </c>
      <c r="B1906" s="273">
        <f t="shared" ref="B1906:B1925" si="162">SUMPRODUCT($C1878:$E1878,$B1344:$D1344)</f>
        <v>2.1919447459684394</v>
      </c>
      <c r="C1906" s="273">
        <f t="shared" ref="C1906:C1925" si="163">SUMPRODUCT($G1878:$I1878,$B1344:$D1344)</f>
        <v>2.0857750461452156</v>
      </c>
      <c r="D1906" s="273">
        <f t="shared" ref="D1906:D1925" si="164">SUMPRODUCT($K1878:$M1878,$B1344:$D1344)</f>
        <v>2.0857750461452156</v>
      </c>
      <c r="E1906" s="273">
        <f t="shared" ref="E1906:E1925" si="165">SUMPRODUCT($O1878:$Q1878,$B1344:$D1344)</f>
        <v>1.963174407705959</v>
      </c>
      <c r="F1906" s="273">
        <f t="shared" ref="F1906:F1925" si="166">SUMPRODUCT($S1878:$U1878,$B1344:$D1344)</f>
        <v>1.963174407705959</v>
      </c>
      <c r="G1906" s="273">
        <f t="shared" ref="G1906:G1925" si="167">SUMPRODUCT($W1878:$Y1878,$B1344:$D1344)</f>
        <v>2.0857750461452156</v>
      </c>
      <c r="H1906" s="273">
        <f t="shared" ref="H1906:H1925" si="168">SUMPRODUCT($AA1878:$AC1878,$B1344:$D1344)</f>
        <v>1.963174407705959</v>
      </c>
      <c r="I1906" s="273">
        <f t="shared" ref="I1906:I1925" si="169">SUMPRODUCT($AE1878:$AG1878,$B1344:$D1344)</f>
        <v>1.963174407705959</v>
      </c>
      <c r="J1906" s="273">
        <f t="shared" ref="J1906:J1925" si="170">SUMPRODUCT($AI1878:$AK1878,$B1344:$D1344)</f>
        <v>1.963174407705959</v>
      </c>
      <c r="K1906" s="265"/>
    </row>
    <row r="1907" spans="1:11">
      <c r="A1907" s="285" t="s">
        <v>55</v>
      </c>
      <c r="B1907" s="273">
        <f t="shared" si="162"/>
        <v>2.7782232494804173</v>
      </c>
      <c r="C1907" s="273">
        <f t="shared" si="163"/>
        <v>2.6010583941830308</v>
      </c>
      <c r="D1907" s="273">
        <f t="shared" si="164"/>
        <v>2.6010583941830308</v>
      </c>
      <c r="E1907" s="273">
        <f t="shared" si="165"/>
        <v>2.41606413620607</v>
      </c>
      <c r="F1907" s="273">
        <f t="shared" si="166"/>
        <v>2.41606413620607</v>
      </c>
      <c r="G1907" s="273">
        <f t="shared" si="167"/>
        <v>2.6010583941830308</v>
      </c>
      <c r="H1907" s="273">
        <f t="shared" si="168"/>
        <v>2.41606413620607</v>
      </c>
      <c r="I1907" s="273">
        <f t="shared" si="169"/>
        <v>2.41606413620607</v>
      </c>
      <c r="J1907" s="273">
        <f t="shared" si="170"/>
        <v>2.41606413620607</v>
      </c>
      <c r="K1907" s="265"/>
    </row>
    <row r="1908" spans="1:11">
      <c r="A1908" s="285" t="s">
        <v>91</v>
      </c>
      <c r="B1908" s="273">
        <f t="shared" si="162"/>
        <v>2.260055249434639E-2</v>
      </c>
      <c r="C1908" s="273">
        <f t="shared" si="163"/>
        <v>0.15073696293430072</v>
      </c>
      <c r="D1908" s="273">
        <f t="shared" si="164"/>
        <v>0.15073696293430072</v>
      </c>
      <c r="E1908" s="273">
        <f t="shared" si="165"/>
        <v>0.24115271585045833</v>
      </c>
      <c r="F1908" s="273">
        <f t="shared" si="166"/>
        <v>0.24115271585045833</v>
      </c>
      <c r="G1908" s="273">
        <f t="shared" si="167"/>
        <v>0.15073696293430072</v>
      </c>
      <c r="H1908" s="273">
        <f t="shared" si="168"/>
        <v>0.24115271585045833</v>
      </c>
      <c r="I1908" s="273">
        <f t="shared" si="169"/>
        <v>0.24115271585045833</v>
      </c>
      <c r="J1908" s="273">
        <f t="shared" si="170"/>
        <v>0.24115271585045833</v>
      </c>
      <c r="K1908" s="265"/>
    </row>
    <row r="1909" spans="1:11">
      <c r="A1909" s="285" t="s">
        <v>56</v>
      </c>
      <c r="B1909" s="273">
        <f t="shared" si="162"/>
        <v>1.6099793643063791</v>
      </c>
      <c r="C1909" s="273">
        <f t="shared" si="163"/>
        <v>1.626585355198618</v>
      </c>
      <c r="D1909" s="273">
        <f t="shared" si="164"/>
        <v>1.626585355198618</v>
      </c>
      <c r="E1909" s="273">
        <f t="shared" si="165"/>
        <v>1.7457888669083237</v>
      </c>
      <c r="F1909" s="273">
        <f t="shared" si="166"/>
        <v>1.7457888669083237</v>
      </c>
      <c r="G1909" s="273">
        <f t="shared" si="167"/>
        <v>1.626585355198618</v>
      </c>
      <c r="H1909" s="273">
        <f t="shared" si="168"/>
        <v>1.7457888669083237</v>
      </c>
      <c r="I1909" s="273">
        <f t="shared" si="169"/>
        <v>1.7457888669083237</v>
      </c>
      <c r="J1909" s="273">
        <f t="shared" si="170"/>
        <v>1.7457888669083237</v>
      </c>
      <c r="K1909" s="265"/>
    </row>
    <row r="1910" spans="1:11">
      <c r="A1910" s="285" t="s">
        <v>57</v>
      </c>
      <c r="B1910" s="273">
        <f t="shared" si="162"/>
        <v>1.9937242368592261</v>
      </c>
      <c r="C1910" s="273">
        <f t="shared" si="163"/>
        <v>1.9458401142876127</v>
      </c>
      <c r="D1910" s="273">
        <f t="shared" si="164"/>
        <v>1.9458401142876127</v>
      </c>
      <c r="E1910" s="273">
        <f t="shared" si="165"/>
        <v>1.9980163862024922</v>
      </c>
      <c r="F1910" s="273">
        <f t="shared" si="166"/>
        <v>1.9980163862024922</v>
      </c>
      <c r="G1910" s="273">
        <f t="shared" si="167"/>
        <v>1.9458401142876127</v>
      </c>
      <c r="H1910" s="273">
        <f t="shared" si="168"/>
        <v>1.9980163862024922</v>
      </c>
      <c r="I1910" s="273">
        <f t="shared" si="169"/>
        <v>1.9980163862024922</v>
      </c>
      <c r="J1910" s="273">
        <f t="shared" si="170"/>
        <v>1.9980163862024922</v>
      </c>
      <c r="K1910" s="265"/>
    </row>
    <row r="1911" spans="1:11">
      <c r="A1911" s="285" t="s">
        <v>92</v>
      </c>
      <c r="B1911" s="273">
        <f t="shared" si="162"/>
        <v>3.5133875508179667E-2</v>
      </c>
      <c r="C1911" s="273">
        <f t="shared" si="163"/>
        <v>0.16119392524860204</v>
      </c>
      <c r="D1911" s="273">
        <f t="shared" si="164"/>
        <v>0.16119392524860204</v>
      </c>
      <c r="E1911" s="273">
        <f t="shared" si="165"/>
        <v>0.25266153015946102</v>
      </c>
      <c r="F1911" s="273">
        <f t="shared" si="166"/>
        <v>0.25266153015946102</v>
      </c>
      <c r="G1911" s="273">
        <f t="shared" si="167"/>
        <v>0.16119392524860204</v>
      </c>
      <c r="H1911" s="273">
        <f t="shared" si="168"/>
        <v>0.25266153015946102</v>
      </c>
      <c r="I1911" s="273">
        <f t="shared" si="169"/>
        <v>0.25266153015946102</v>
      </c>
      <c r="J1911" s="273">
        <f t="shared" si="170"/>
        <v>0.25266153015946102</v>
      </c>
      <c r="K1911" s="265"/>
    </row>
    <row r="1912" spans="1:11">
      <c r="A1912" s="285" t="s">
        <v>58</v>
      </c>
      <c r="B1912" s="273">
        <f t="shared" si="162"/>
        <v>1.8049233242510712</v>
      </c>
      <c r="C1912" s="273">
        <f t="shared" si="163"/>
        <v>1.7542649699072816</v>
      </c>
      <c r="D1912" s="273">
        <f t="shared" si="164"/>
        <v>1.7542649699072816</v>
      </c>
      <c r="E1912" s="273">
        <f t="shared" si="165"/>
        <v>1.7834285178922733</v>
      </c>
      <c r="F1912" s="273">
        <f t="shared" si="166"/>
        <v>1.7834285178922733</v>
      </c>
      <c r="G1912" s="273">
        <f t="shared" si="167"/>
        <v>1.7542649699072816</v>
      </c>
      <c r="H1912" s="273">
        <f t="shared" si="168"/>
        <v>1.7834285178922733</v>
      </c>
      <c r="I1912" s="273">
        <f t="shared" si="169"/>
        <v>1.7834285178922733</v>
      </c>
      <c r="J1912" s="273">
        <f t="shared" si="170"/>
        <v>1.7834285178922733</v>
      </c>
      <c r="K1912" s="265"/>
    </row>
    <row r="1913" spans="1:11">
      <c r="A1913" s="285" t="s">
        <v>59</v>
      </c>
      <c r="B1913" s="273">
        <f t="shared" si="162"/>
        <v>1.7865264128345684</v>
      </c>
      <c r="C1913" s="273">
        <f t="shared" si="163"/>
        <v>1.7393104970246005</v>
      </c>
      <c r="D1913" s="273">
        <f t="shared" si="164"/>
        <v>1.7393104970246005</v>
      </c>
      <c r="E1913" s="273">
        <f t="shared" si="165"/>
        <v>1.7730944220188876</v>
      </c>
      <c r="F1913" s="273">
        <f t="shared" si="166"/>
        <v>1.7730944220188876</v>
      </c>
      <c r="G1913" s="273">
        <f t="shared" si="167"/>
        <v>1.7393104970246005</v>
      </c>
      <c r="H1913" s="273">
        <f t="shared" si="168"/>
        <v>1.7730944220188876</v>
      </c>
      <c r="I1913" s="273">
        <f t="shared" si="169"/>
        <v>1.7730944220188876</v>
      </c>
      <c r="J1913" s="273">
        <f t="shared" si="170"/>
        <v>1.7730944220188876</v>
      </c>
      <c r="K1913" s="265"/>
    </row>
    <row r="1914" spans="1:11">
      <c r="A1914" s="285" t="s">
        <v>72</v>
      </c>
      <c r="B1914" s="273">
        <f t="shared" si="162"/>
        <v>1.8714586104332458</v>
      </c>
      <c r="C1914" s="273">
        <f t="shared" si="163"/>
        <v>1.8243022719790916</v>
      </c>
      <c r="D1914" s="273">
        <f t="shared" si="164"/>
        <v>1.8243022719790916</v>
      </c>
      <c r="E1914" s="273">
        <f t="shared" si="165"/>
        <v>1.8729560549185422</v>
      </c>
      <c r="F1914" s="273">
        <f t="shared" si="166"/>
        <v>1.8729560549185422</v>
      </c>
      <c r="G1914" s="273">
        <f t="shared" si="167"/>
        <v>1.8243022719790916</v>
      </c>
      <c r="H1914" s="273">
        <f t="shared" si="168"/>
        <v>1.8729560549185422</v>
      </c>
      <c r="I1914" s="273">
        <f t="shared" si="169"/>
        <v>1.8729560549185422</v>
      </c>
      <c r="J1914" s="273">
        <f t="shared" si="170"/>
        <v>1.8729560549185422</v>
      </c>
      <c r="K1914" s="265"/>
    </row>
    <row r="1915" spans="1:11">
      <c r="A1915" s="285" t="s">
        <v>1178</v>
      </c>
      <c r="B1915" s="273">
        <f t="shared" si="162"/>
        <v>24.865437920984643</v>
      </c>
      <c r="C1915" s="273">
        <f t="shared" si="163"/>
        <v>20.993602005020652</v>
      </c>
      <c r="D1915" s="273">
        <f t="shared" si="164"/>
        <v>20.993602005020652</v>
      </c>
      <c r="E1915" s="273">
        <f t="shared" si="165"/>
        <v>14.985712266893355</v>
      </c>
      <c r="F1915" s="273">
        <f t="shared" si="166"/>
        <v>14.985712266893355</v>
      </c>
      <c r="G1915" s="273">
        <f t="shared" si="167"/>
        <v>20.993602005020652</v>
      </c>
      <c r="H1915" s="273">
        <f t="shared" si="168"/>
        <v>14.985712266893355</v>
      </c>
      <c r="I1915" s="273">
        <f t="shared" si="169"/>
        <v>14.985712266893355</v>
      </c>
      <c r="J1915" s="273">
        <f t="shared" si="170"/>
        <v>14.985712266893355</v>
      </c>
      <c r="K1915" s="265"/>
    </row>
    <row r="1916" spans="1:11">
      <c r="A1916" s="285" t="s">
        <v>1177</v>
      </c>
      <c r="B1916" s="273">
        <f t="shared" si="162"/>
        <v>25.361849273976436</v>
      </c>
      <c r="C1916" s="273">
        <f t="shared" si="163"/>
        <v>21.405074627065989</v>
      </c>
      <c r="D1916" s="273">
        <f t="shared" si="164"/>
        <v>21.405074627065989</v>
      </c>
      <c r="E1916" s="273">
        <f t="shared" si="165"/>
        <v>15.284694605273966</v>
      </c>
      <c r="F1916" s="273">
        <f t="shared" si="166"/>
        <v>15.284694605273966</v>
      </c>
      <c r="G1916" s="273">
        <f t="shared" si="167"/>
        <v>21.405074627065989</v>
      </c>
      <c r="H1916" s="273">
        <f t="shared" si="168"/>
        <v>15.284694605273966</v>
      </c>
      <c r="I1916" s="273">
        <f t="shared" si="169"/>
        <v>15.284694605273966</v>
      </c>
      <c r="J1916" s="273">
        <f t="shared" si="170"/>
        <v>15.284694605273966</v>
      </c>
      <c r="K1916" s="265"/>
    </row>
    <row r="1917" spans="1:11">
      <c r="A1917" s="285" t="s">
        <v>60</v>
      </c>
      <c r="B1917" s="273">
        <f t="shared" si="162"/>
        <v>20.014136550733021</v>
      </c>
      <c r="C1917" s="273">
        <f t="shared" si="163"/>
        <v>16.89632146526095</v>
      </c>
      <c r="D1917" s="273">
        <f t="shared" si="164"/>
        <v>16.89632146526095</v>
      </c>
      <c r="E1917" s="273">
        <f t="shared" si="165"/>
        <v>12.061834227947216</v>
      </c>
      <c r="F1917" s="273">
        <f t="shared" si="166"/>
        <v>12.061834227947216</v>
      </c>
      <c r="G1917" s="273">
        <f t="shared" si="167"/>
        <v>16.89632146526095</v>
      </c>
      <c r="H1917" s="273">
        <f t="shared" si="168"/>
        <v>12.061834227947216</v>
      </c>
      <c r="I1917" s="273">
        <f t="shared" si="169"/>
        <v>12.061834227947216</v>
      </c>
      <c r="J1917" s="273">
        <f t="shared" si="170"/>
        <v>12.061834227947216</v>
      </c>
      <c r="K1917" s="265"/>
    </row>
    <row r="1918" spans="1:11">
      <c r="A1918" s="285" t="s">
        <v>61</v>
      </c>
      <c r="B1918" s="273">
        <f t="shared" si="162"/>
        <v>19.088664804564541</v>
      </c>
      <c r="C1918" s="273">
        <f t="shared" si="163"/>
        <v>16.11502030392225</v>
      </c>
      <c r="D1918" s="273">
        <f t="shared" si="164"/>
        <v>16.11502030392225</v>
      </c>
      <c r="E1918" s="273">
        <f t="shared" si="165"/>
        <v>11.504084121834133</v>
      </c>
      <c r="F1918" s="273">
        <f t="shared" si="166"/>
        <v>11.504084121834133</v>
      </c>
      <c r="G1918" s="273">
        <f t="shared" si="167"/>
        <v>16.11502030392225</v>
      </c>
      <c r="H1918" s="273">
        <f t="shared" si="168"/>
        <v>11.504084121834133</v>
      </c>
      <c r="I1918" s="273">
        <f t="shared" si="169"/>
        <v>11.504084121834133</v>
      </c>
      <c r="J1918" s="273">
        <f t="shared" si="170"/>
        <v>11.504084121834133</v>
      </c>
      <c r="K1918" s="265"/>
    </row>
    <row r="1919" spans="1:11">
      <c r="A1919" s="285" t="s">
        <v>73</v>
      </c>
      <c r="B1919" s="273">
        <f t="shared" si="162"/>
        <v>17.53867433216071</v>
      </c>
      <c r="C1919" s="273">
        <f t="shared" si="163"/>
        <v>14.806488345851461</v>
      </c>
      <c r="D1919" s="273">
        <f t="shared" si="164"/>
        <v>14.806488345851461</v>
      </c>
      <c r="E1919" s="273">
        <f t="shared" si="165"/>
        <v>10.569957981261366</v>
      </c>
      <c r="F1919" s="273">
        <f t="shared" si="166"/>
        <v>10.569957981261366</v>
      </c>
      <c r="G1919" s="273">
        <f t="shared" si="167"/>
        <v>14.806488345851461</v>
      </c>
      <c r="H1919" s="273">
        <f t="shared" si="168"/>
        <v>10.569957981261366</v>
      </c>
      <c r="I1919" s="273">
        <f t="shared" si="169"/>
        <v>10.569957981261366</v>
      </c>
      <c r="J1919" s="273">
        <f t="shared" si="170"/>
        <v>10.569957981261366</v>
      </c>
      <c r="K1919" s="265"/>
    </row>
    <row r="1920" spans="1:11">
      <c r="A1920" s="285" t="s">
        <v>64</v>
      </c>
      <c r="B1920" s="273">
        <f t="shared" si="162"/>
        <v>-16.7816091954023</v>
      </c>
      <c r="C1920" s="273">
        <f t="shared" si="163"/>
        <v>-14.167359303817252</v>
      </c>
      <c r="D1920" s="273">
        <f t="shared" si="164"/>
        <v>-14.167359303817252</v>
      </c>
      <c r="E1920" s="273">
        <f t="shared" si="165"/>
        <v>-10.113700767456972</v>
      </c>
      <c r="F1920" s="273">
        <f t="shared" si="166"/>
        <v>-10.113700767456972</v>
      </c>
      <c r="G1920" s="273">
        <f t="shared" si="167"/>
        <v>-14.167359303817252</v>
      </c>
      <c r="H1920" s="273">
        <f t="shared" si="168"/>
        <v>-10.113700767456972</v>
      </c>
      <c r="I1920" s="273">
        <f t="shared" si="169"/>
        <v>-10.113700767456972</v>
      </c>
      <c r="J1920" s="273">
        <f t="shared" si="170"/>
        <v>-10.113700767456972</v>
      </c>
      <c r="K1920" s="265"/>
    </row>
    <row r="1921" spans="1:11">
      <c r="A1921" s="285" t="s">
        <v>1517</v>
      </c>
      <c r="B1921" s="273">
        <f t="shared" si="162"/>
        <v>-16.7816091954023</v>
      </c>
      <c r="C1921" s="273">
        <f t="shared" si="163"/>
        <v>-14.167359303817252</v>
      </c>
      <c r="D1921" s="273">
        <f t="shared" si="164"/>
        <v>-14.167359303817252</v>
      </c>
      <c r="E1921" s="273">
        <f t="shared" si="165"/>
        <v>-10.113700767456972</v>
      </c>
      <c r="F1921" s="273">
        <f t="shared" si="166"/>
        <v>-10.113700767456972</v>
      </c>
      <c r="G1921" s="273">
        <f t="shared" si="167"/>
        <v>-14.167359303817252</v>
      </c>
      <c r="H1921" s="273">
        <f t="shared" si="168"/>
        <v>-10.113700767456972</v>
      </c>
      <c r="I1921" s="273">
        <f t="shared" si="169"/>
        <v>-10.113700767456972</v>
      </c>
      <c r="J1921" s="273">
        <f t="shared" si="170"/>
        <v>-10.113700767456972</v>
      </c>
      <c r="K1921" s="265"/>
    </row>
    <row r="1922" spans="1:11">
      <c r="A1922" s="285" t="s">
        <v>66</v>
      </c>
      <c r="B1922" s="273">
        <f t="shared" si="162"/>
        <v>-16.7816091954023</v>
      </c>
      <c r="C1922" s="273">
        <f t="shared" si="163"/>
        <v>-14.167359303817252</v>
      </c>
      <c r="D1922" s="273">
        <f t="shared" si="164"/>
        <v>-14.167359303817252</v>
      </c>
      <c r="E1922" s="273">
        <f t="shared" si="165"/>
        <v>-10.113700767456972</v>
      </c>
      <c r="F1922" s="273">
        <f t="shared" si="166"/>
        <v>-10.113700767456972</v>
      </c>
      <c r="G1922" s="273">
        <f t="shared" si="167"/>
        <v>-14.167359303817252</v>
      </c>
      <c r="H1922" s="273">
        <f t="shared" si="168"/>
        <v>-10.113700767456972</v>
      </c>
      <c r="I1922" s="273">
        <f t="shared" si="169"/>
        <v>-10.113700767456972</v>
      </c>
      <c r="J1922" s="273">
        <f t="shared" si="170"/>
        <v>-10.113700767456972</v>
      </c>
      <c r="K1922" s="265"/>
    </row>
    <row r="1923" spans="1:11">
      <c r="A1923" s="285" t="s">
        <v>1519</v>
      </c>
      <c r="B1923" s="273">
        <f t="shared" si="162"/>
        <v>-16.7816091954023</v>
      </c>
      <c r="C1923" s="273">
        <f t="shared" si="163"/>
        <v>-14.167359303817252</v>
      </c>
      <c r="D1923" s="273">
        <f t="shared" si="164"/>
        <v>-14.167359303817252</v>
      </c>
      <c r="E1923" s="273">
        <f t="shared" si="165"/>
        <v>-10.113700767456972</v>
      </c>
      <c r="F1923" s="273">
        <f t="shared" si="166"/>
        <v>-10.113700767456972</v>
      </c>
      <c r="G1923" s="273">
        <f t="shared" si="167"/>
        <v>-14.167359303817252</v>
      </c>
      <c r="H1923" s="273">
        <f t="shared" si="168"/>
        <v>-10.113700767456972</v>
      </c>
      <c r="I1923" s="273">
        <f t="shared" si="169"/>
        <v>-10.113700767456972</v>
      </c>
      <c r="J1923" s="273">
        <f t="shared" si="170"/>
        <v>-10.113700767456972</v>
      </c>
      <c r="K1923" s="265"/>
    </row>
    <row r="1924" spans="1:11">
      <c r="A1924" s="285" t="s">
        <v>75</v>
      </c>
      <c r="B1924" s="273">
        <f t="shared" si="162"/>
        <v>-16.7816091954023</v>
      </c>
      <c r="C1924" s="273">
        <f t="shared" si="163"/>
        <v>-14.167359303817252</v>
      </c>
      <c r="D1924" s="273">
        <f t="shared" si="164"/>
        <v>-14.167359303817252</v>
      </c>
      <c r="E1924" s="273">
        <f t="shared" si="165"/>
        <v>-10.113700767456972</v>
      </c>
      <c r="F1924" s="273">
        <f t="shared" si="166"/>
        <v>-10.113700767456972</v>
      </c>
      <c r="G1924" s="273">
        <f t="shared" si="167"/>
        <v>-14.167359303817252</v>
      </c>
      <c r="H1924" s="273">
        <f t="shared" si="168"/>
        <v>-10.113700767456972</v>
      </c>
      <c r="I1924" s="273">
        <f t="shared" si="169"/>
        <v>-10.113700767456972</v>
      </c>
      <c r="J1924" s="273">
        <f t="shared" si="170"/>
        <v>-10.113700767456972</v>
      </c>
      <c r="K1924" s="265"/>
    </row>
    <row r="1925" spans="1:11">
      <c r="A1925" s="285" t="s">
        <v>1521</v>
      </c>
      <c r="B1925" s="273">
        <f t="shared" si="162"/>
        <v>-16.7816091954023</v>
      </c>
      <c r="C1925" s="273">
        <f t="shared" si="163"/>
        <v>-14.167359303817252</v>
      </c>
      <c r="D1925" s="273">
        <f t="shared" si="164"/>
        <v>-14.167359303817252</v>
      </c>
      <c r="E1925" s="273">
        <f t="shared" si="165"/>
        <v>-10.113700767456972</v>
      </c>
      <c r="F1925" s="273">
        <f t="shared" si="166"/>
        <v>-10.113700767456972</v>
      </c>
      <c r="G1925" s="273">
        <f t="shared" si="167"/>
        <v>-14.167359303817252</v>
      </c>
      <c r="H1925" s="273">
        <f t="shared" si="168"/>
        <v>-10.113700767456972</v>
      </c>
      <c r="I1925" s="273">
        <f t="shared" si="169"/>
        <v>-10.113700767456972</v>
      </c>
      <c r="J1925" s="273">
        <f t="shared" si="170"/>
        <v>-10.113700767456972</v>
      </c>
      <c r="K1925" s="265"/>
    </row>
    <row r="1927" spans="1:11" ht="21" customHeight="1">
      <c r="A1927" s="1" t="s">
        <v>1314</v>
      </c>
    </row>
    <row r="1928" spans="1:11">
      <c r="A1928" s="264" t="s">
        <v>217</v>
      </c>
    </row>
    <row r="1929" spans="1:11">
      <c r="A1929" s="269" t="s">
        <v>1313</v>
      </c>
    </row>
    <row r="1930" spans="1:11">
      <c r="A1930" s="269" t="s">
        <v>462</v>
      </c>
    </row>
    <row r="1931" spans="1:11">
      <c r="A1931" s="264" t="s">
        <v>230</v>
      </c>
    </row>
    <row r="1933" spans="1:11">
      <c r="B1933" s="284" t="s">
        <v>22</v>
      </c>
      <c r="C1933" s="284" t="s">
        <v>23</v>
      </c>
      <c r="D1933" s="284" t="s">
        <v>24</v>
      </c>
      <c r="E1933" s="284" t="s">
        <v>25</v>
      </c>
      <c r="F1933" s="284" t="s">
        <v>26</v>
      </c>
      <c r="G1933" s="284" t="s">
        <v>31</v>
      </c>
      <c r="H1933" s="284" t="s">
        <v>27</v>
      </c>
      <c r="I1933" s="284" t="s">
        <v>28</v>
      </c>
      <c r="J1933" s="284" t="s">
        <v>29</v>
      </c>
    </row>
    <row r="1934" spans="1:11">
      <c r="A1934" s="285" t="s">
        <v>55</v>
      </c>
      <c r="B1934" s="273">
        <f>SUMPRODUCT($C$1879:$E$1879,$B1389:$D1389)</f>
        <v>0</v>
      </c>
      <c r="C1934" s="273">
        <f>SUMPRODUCT($G$1879:$I$1879,$B1389:$D1389)</f>
        <v>0.18820004311121696</v>
      </c>
      <c r="D1934" s="273">
        <f>SUMPRODUCT($K$1879:$M$1879,$B1389:$D1389)</f>
        <v>0.18820004311121696</v>
      </c>
      <c r="E1934" s="273">
        <f>SUMPRODUCT($O$1879:$Q$1879,$B1389:$D1389)</f>
        <v>0.26563998545292666</v>
      </c>
      <c r="F1934" s="273">
        <f>SUMPRODUCT($S$1879:$U$1879,$B1389:$D1389)</f>
        <v>0.26563998545292666</v>
      </c>
      <c r="G1934" s="273">
        <f>SUMPRODUCT($W$1879:$Y$1879,$B1389:$D1389)</f>
        <v>0.18820004311121696</v>
      </c>
      <c r="H1934" s="273">
        <f>SUMPRODUCT($AA$1879:$AC$1879,$B1389:$D1389)</f>
        <v>0.26563998545292666</v>
      </c>
      <c r="I1934" s="273">
        <f>SUMPRODUCT($AE$1879:$AG$1879,$B1389:$D1389)</f>
        <v>0.26563998545292666</v>
      </c>
      <c r="J1934" s="273">
        <f>SUMPRODUCT($AI$1879:$AK$1879,$B1389:$D1389)</f>
        <v>0.26563998545292666</v>
      </c>
      <c r="K1934" s="265"/>
    </row>
    <row r="1935" spans="1:11">
      <c r="A1935" s="285" t="s">
        <v>57</v>
      </c>
      <c r="B1935" s="273">
        <f>SUMPRODUCT($C$1882:$E$1882,$B1390:$D1390)</f>
        <v>0</v>
      </c>
      <c r="C1935" s="273">
        <f>SUMPRODUCT($G$1882:$I$1882,$B1390:$D1390)</f>
        <v>0.17983631267040143</v>
      </c>
      <c r="D1935" s="273">
        <f>SUMPRODUCT($K$1882:$M$1882,$B1390:$D1390)</f>
        <v>0.17983631267040143</v>
      </c>
      <c r="E1935" s="273">
        <f>SUMPRODUCT($O$1882:$Q$1882,$B1390:$D1390)</f>
        <v>0.25770353357375919</v>
      </c>
      <c r="F1935" s="273">
        <f>SUMPRODUCT($S$1882:$U$1882,$B1390:$D1390)</f>
        <v>0.25770353357375919</v>
      </c>
      <c r="G1935" s="273">
        <f>SUMPRODUCT($W$1882:$Y$1882,$B1390:$D1390)</f>
        <v>0.17983631267040143</v>
      </c>
      <c r="H1935" s="273">
        <f>SUMPRODUCT($AA$1882:$AC$1882,$B1390:$D1390)</f>
        <v>0.25770353357375919</v>
      </c>
      <c r="I1935" s="273">
        <f>SUMPRODUCT($AE$1882:$AG$1882,$B1390:$D1390)</f>
        <v>0.25770353357375919</v>
      </c>
      <c r="J1935" s="273">
        <f>SUMPRODUCT($AI$1882:$AK$1882,$B1390:$D1390)</f>
        <v>0.25770353357375919</v>
      </c>
      <c r="K1935" s="265"/>
    </row>
    <row r="1936" spans="1:11">
      <c r="A1936" s="285" t="s">
        <v>58</v>
      </c>
      <c r="B1936" s="273">
        <f>SUMPRODUCT($C$1884:$E$1884,$B1391:$D1391)</f>
        <v>0</v>
      </c>
      <c r="C1936" s="273">
        <f>SUMPRODUCT($G$1884:$I$1884,$B1391:$D1391)</f>
        <v>0.15546430604064271</v>
      </c>
      <c r="D1936" s="273">
        <f>SUMPRODUCT($K$1884:$M$1884,$B1391:$D1391)</f>
        <v>0.15546430604064271</v>
      </c>
      <c r="E1936" s="273">
        <f>SUMPRODUCT($O$1884:$Q$1884,$B1391:$D1391)</f>
        <v>0.20650972968932438</v>
      </c>
      <c r="F1936" s="273">
        <f>SUMPRODUCT($S$1884:$U$1884,$B1391:$D1391)</f>
        <v>0.20650972968932438</v>
      </c>
      <c r="G1936" s="273">
        <f>SUMPRODUCT($W$1884:$Y$1884,$B1391:$D1391)</f>
        <v>0.15546430604064271</v>
      </c>
      <c r="H1936" s="273">
        <f>SUMPRODUCT($AA$1884:$AC$1884,$B1391:$D1391)</f>
        <v>0.20650972968932438</v>
      </c>
      <c r="I1936" s="273">
        <f>SUMPRODUCT($AE$1884:$AG$1884,$B1391:$D1391)</f>
        <v>0.20650972968932438</v>
      </c>
      <c r="J1936" s="273">
        <f>SUMPRODUCT($AI$1884:$AK$1884,$B1391:$D1391)</f>
        <v>0.20650972968932438</v>
      </c>
      <c r="K1936" s="265"/>
    </row>
    <row r="1937" spans="1:11">
      <c r="A1937" s="285" t="s">
        <v>59</v>
      </c>
      <c r="B1937" s="273">
        <f>SUMPRODUCT($C$1885:$E$1885,$B1392:$D1392)</f>
        <v>0</v>
      </c>
      <c r="C1937" s="273">
        <f>SUMPRODUCT($G$1885:$I$1885,$B1392:$D1392)</f>
        <v>0.1559122720007389</v>
      </c>
      <c r="D1937" s="273">
        <f>SUMPRODUCT($K$1885:$M$1885,$B1392:$D1392)</f>
        <v>0.1559122720007389</v>
      </c>
      <c r="E1937" s="273">
        <f>SUMPRODUCT($O$1885:$Q$1885,$B1392:$D1392)</f>
        <v>0.20710478158056236</v>
      </c>
      <c r="F1937" s="273">
        <f>SUMPRODUCT($S$1885:$U$1885,$B1392:$D1392)</f>
        <v>0.20710478158056236</v>
      </c>
      <c r="G1937" s="273">
        <f>SUMPRODUCT($W$1885:$Y$1885,$B1392:$D1392)</f>
        <v>0.1559122720007389</v>
      </c>
      <c r="H1937" s="273">
        <f>SUMPRODUCT($AA$1885:$AC$1885,$B1392:$D1392)</f>
        <v>0.20710478158056236</v>
      </c>
      <c r="I1937" s="273">
        <f>SUMPRODUCT($AE$1885:$AG$1885,$B1392:$D1392)</f>
        <v>0.20710478158056236</v>
      </c>
      <c r="J1937" s="273">
        <f>SUMPRODUCT($AI$1885:$AK$1885,$B1392:$D1392)</f>
        <v>0.20710478158056236</v>
      </c>
      <c r="K1937" s="265"/>
    </row>
    <row r="1938" spans="1:11">
      <c r="A1938" s="285" t="s">
        <v>72</v>
      </c>
      <c r="B1938" s="273">
        <f>SUMPRODUCT($C$1886:$E$1886,$B1393:$D1393)</f>
        <v>0</v>
      </c>
      <c r="C1938" s="273">
        <f>SUMPRODUCT($G$1886:$I$1886,$B1393:$D1393)</f>
        <v>0.16280427399189901</v>
      </c>
      <c r="D1938" s="273">
        <f>SUMPRODUCT($K$1886:$M$1886,$B1393:$D1393)</f>
        <v>0.16280427399189901</v>
      </c>
      <c r="E1938" s="273">
        <f>SUMPRODUCT($O$1886:$Q$1886,$B1393:$D1393)</f>
        <v>0.21625971562594173</v>
      </c>
      <c r="F1938" s="273">
        <f>SUMPRODUCT($S$1886:$U$1886,$B1393:$D1393)</f>
        <v>0.21625971562594173</v>
      </c>
      <c r="G1938" s="273">
        <f>SUMPRODUCT($W$1886:$Y$1886,$B1393:$D1393)</f>
        <v>0.16280427399189901</v>
      </c>
      <c r="H1938" s="273">
        <f>SUMPRODUCT($AA$1886:$AC$1886,$B1393:$D1393)</f>
        <v>0.21625971562594173</v>
      </c>
      <c r="I1938" s="273">
        <f>SUMPRODUCT($AE$1886:$AG$1886,$B1393:$D1393)</f>
        <v>0.21625971562594173</v>
      </c>
      <c r="J1938" s="273">
        <f>SUMPRODUCT($AI$1886:$AK$1886,$B1393:$D1393)</f>
        <v>0.21625971562594173</v>
      </c>
      <c r="K1938" s="265"/>
    </row>
    <row r="1939" spans="1:11">
      <c r="A1939" s="285" t="s">
        <v>1178</v>
      </c>
      <c r="B1939" s="273">
        <f>SUMPRODUCT($C$1887:$E$1887,$B1394:$D1394)</f>
        <v>0</v>
      </c>
      <c r="C1939" s="273">
        <f>SUMPRODUCT($G$1887:$I$1887,$B1394:$D1394)</f>
        <v>0.3397767767328605</v>
      </c>
      <c r="D1939" s="273">
        <f>SUMPRODUCT($K$1887:$M$1887,$B1394:$D1394)</f>
        <v>0.3397767767328605</v>
      </c>
      <c r="E1939" s="273">
        <f>SUMPRODUCT($O$1887:$Q$1887,$B1394:$D1394)</f>
        <v>1.1689120977893972</v>
      </c>
      <c r="F1939" s="273">
        <f>SUMPRODUCT($S$1887:$U$1887,$B1394:$D1394)</f>
        <v>1.1689120977893972</v>
      </c>
      <c r="G1939" s="273">
        <f>SUMPRODUCT($W$1887:$Y$1887,$B1394:$D1394)</f>
        <v>0.3397767767328605</v>
      </c>
      <c r="H1939" s="273">
        <f>SUMPRODUCT($AA$1887:$AC$1887,$B1394:$D1394)</f>
        <v>1.1689120977893972</v>
      </c>
      <c r="I1939" s="273">
        <f>SUMPRODUCT($AE$1887:$AG$1887,$B1394:$D1394)</f>
        <v>1.1689120977893972</v>
      </c>
      <c r="J1939" s="273">
        <f>SUMPRODUCT($AI$1887:$AK$1887,$B1394:$D1394)</f>
        <v>1.1689120977893972</v>
      </c>
      <c r="K1939" s="265"/>
    </row>
    <row r="1940" spans="1:11">
      <c r="A1940" s="285" t="s">
        <v>1177</v>
      </c>
      <c r="B1940" s="273">
        <f>SUMPRODUCT($C$1888:$E$1888,$B1395:$D1395)</f>
        <v>0</v>
      </c>
      <c r="C1940" s="273">
        <f>SUMPRODUCT($G$1888:$I$1888,$B1395:$D1395)</f>
        <v>0.34643636955542373</v>
      </c>
      <c r="D1940" s="273">
        <f>SUMPRODUCT($K$1888:$M$1888,$B1395:$D1395)</f>
        <v>0.34643636955542373</v>
      </c>
      <c r="E1940" s="273">
        <f>SUMPRODUCT($O$1888:$Q$1888,$B1395:$D1395)</f>
        <v>1.1922332497062502</v>
      </c>
      <c r="F1940" s="273">
        <f>SUMPRODUCT($S$1888:$U$1888,$B1395:$D1395)</f>
        <v>1.1922332497062502</v>
      </c>
      <c r="G1940" s="273">
        <f>SUMPRODUCT($W$1888:$Y$1888,$B1395:$D1395)</f>
        <v>0.34643636955542373</v>
      </c>
      <c r="H1940" s="273">
        <f>SUMPRODUCT($AA$1888:$AC$1888,$B1395:$D1395)</f>
        <v>1.1922332497062502</v>
      </c>
      <c r="I1940" s="273">
        <f>SUMPRODUCT($AE$1888:$AG$1888,$B1395:$D1395)</f>
        <v>1.1922332497062502</v>
      </c>
      <c r="J1940" s="273">
        <f>SUMPRODUCT($AI$1888:$AK$1888,$B1395:$D1395)</f>
        <v>1.1922332497062502</v>
      </c>
      <c r="K1940" s="265"/>
    </row>
    <row r="1941" spans="1:11">
      <c r="A1941" s="285" t="s">
        <v>60</v>
      </c>
      <c r="B1941" s="273">
        <f>SUMPRODUCT($C$1889:$E$1889,$B1396:$D1396)</f>
        <v>0</v>
      </c>
      <c r="C1941" s="273">
        <f>SUMPRODUCT($G$1889:$I$1889,$B1396:$D1396)</f>
        <v>0.27346320296705845</v>
      </c>
      <c r="D1941" s="273">
        <f>SUMPRODUCT($K$1889:$M$1889,$B1396:$D1396)</f>
        <v>0.27346320296705845</v>
      </c>
      <c r="E1941" s="273">
        <f>SUMPRODUCT($O$1889:$Q$1889,$B1396:$D1396)</f>
        <v>0.94084443231476822</v>
      </c>
      <c r="F1941" s="273">
        <f>SUMPRODUCT($S$1889:$U$1889,$B1396:$D1396)</f>
        <v>0.94084443231476822</v>
      </c>
      <c r="G1941" s="273">
        <f>SUMPRODUCT($W$1889:$Y$1889,$B1396:$D1396)</f>
        <v>0.27346320296705845</v>
      </c>
      <c r="H1941" s="273">
        <f>SUMPRODUCT($AA$1889:$AC$1889,$B1396:$D1396)</f>
        <v>0.94084443231476822</v>
      </c>
      <c r="I1941" s="273">
        <f>SUMPRODUCT($AE$1889:$AG$1889,$B1396:$D1396)</f>
        <v>0.94084443231476822</v>
      </c>
      <c r="J1941" s="273">
        <f>SUMPRODUCT($AI$1889:$AK$1889,$B1396:$D1396)</f>
        <v>0.94084443231476822</v>
      </c>
      <c r="K1941" s="265"/>
    </row>
    <row r="1942" spans="1:11">
      <c r="A1942" s="285" t="s">
        <v>61</v>
      </c>
      <c r="B1942" s="273">
        <f>SUMPRODUCT($C$1890:$E$1890,$B1397:$D1397)</f>
        <v>0</v>
      </c>
      <c r="C1942" s="273">
        <f>SUMPRODUCT($G$1890:$I$1890,$B1397:$D1397)</f>
        <v>0.26081801753419093</v>
      </c>
      <c r="D1942" s="273">
        <f>SUMPRODUCT($K$1890:$M$1890,$B1397:$D1397)</f>
        <v>0.26081801753419093</v>
      </c>
      <c r="E1942" s="273">
        <f>SUMPRODUCT($O$1890:$Q$1890,$B1397:$D1397)</f>
        <v>0.89733893621504512</v>
      </c>
      <c r="F1942" s="273">
        <f>SUMPRODUCT($S$1890:$U$1890,$B1397:$D1397)</f>
        <v>0.89733893621504512</v>
      </c>
      <c r="G1942" s="273">
        <f>SUMPRODUCT($W$1890:$Y$1890,$B1397:$D1397)</f>
        <v>0.26081801753419093</v>
      </c>
      <c r="H1942" s="273">
        <f>SUMPRODUCT($AA$1890:$AC$1890,$B1397:$D1397)</f>
        <v>0.89733893621504512</v>
      </c>
      <c r="I1942" s="273">
        <f>SUMPRODUCT($AE$1890:$AG$1890,$B1397:$D1397)</f>
        <v>0.89733893621504512</v>
      </c>
      <c r="J1942" s="273">
        <f>SUMPRODUCT($AI$1890:$AK$1890,$B1397:$D1397)</f>
        <v>0.89733893621504512</v>
      </c>
      <c r="K1942" s="265"/>
    </row>
    <row r="1943" spans="1:11">
      <c r="A1943" s="285" t="s">
        <v>73</v>
      </c>
      <c r="B1943" s="273">
        <f>SUMPRODUCT($C$1891:$E$1891,$B1398:$D1398)</f>
        <v>0</v>
      </c>
      <c r="C1943" s="273">
        <f>SUMPRODUCT($G$1891:$I$1891,$B1398:$D1398)</f>
        <v>0.23963971898118888</v>
      </c>
      <c r="D1943" s="273">
        <f>SUMPRODUCT($K$1891:$M$1891,$B1398:$D1398)</f>
        <v>0.23963971898118888</v>
      </c>
      <c r="E1943" s="273">
        <f>SUMPRODUCT($O$1891:$Q$1891,$B1398:$D1398)</f>
        <v>0.82447544283347973</v>
      </c>
      <c r="F1943" s="273">
        <f>SUMPRODUCT($S$1891:$U$1891,$B1398:$D1398)</f>
        <v>0.82447544283347973</v>
      </c>
      <c r="G1943" s="273">
        <f>SUMPRODUCT($W$1891:$Y$1891,$B1398:$D1398)</f>
        <v>0.23963971898118888</v>
      </c>
      <c r="H1943" s="273">
        <f>SUMPRODUCT($AA$1891:$AC$1891,$B1398:$D1398)</f>
        <v>0.82447544283347973</v>
      </c>
      <c r="I1943" s="273">
        <f>SUMPRODUCT($AE$1891:$AG$1891,$B1398:$D1398)</f>
        <v>0.82447544283347973</v>
      </c>
      <c r="J1943" s="273">
        <f>SUMPRODUCT($AI$1891:$AK$1891,$B1398:$D1398)</f>
        <v>0.82447544283347973</v>
      </c>
      <c r="K1943" s="265"/>
    </row>
    <row r="1944" spans="1:11">
      <c r="A1944" s="285" t="s">
        <v>64</v>
      </c>
      <c r="B1944" s="273">
        <f>SUMPRODUCT($C$1892:$E$1892,$B1399:$D1399)</f>
        <v>0</v>
      </c>
      <c r="C1944" s="273">
        <f>SUMPRODUCT($G$1892:$I$1892,$B1399:$D1399)</f>
        <v>-0.22929555766162066</v>
      </c>
      <c r="D1944" s="273">
        <f>SUMPRODUCT($K$1892:$M$1892,$B1399:$D1399)</f>
        <v>-0.22929555766162066</v>
      </c>
      <c r="E1944" s="273">
        <f>SUMPRODUCT($O$1892:$Q$1892,$B1399:$D1399)</f>
        <v>-0.78888657208638369</v>
      </c>
      <c r="F1944" s="273">
        <f>SUMPRODUCT($S$1892:$U$1892,$B1399:$D1399)</f>
        <v>-0.78888657208638369</v>
      </c>
      <c r="G1944" s="273">
        <f>SUMPRODUCT($W$1892:$Y$1892,$B1399:$D1399)</f>
        <v>-0.22929555766162066</v>
      </c>
      <c r="H1944" s="273">
        <f>SUMPRODUCT($AA$1892:$AC$1892,$B1399:$D1399)</f>
        <v>-0.78888657208638369</v>
      </c>
      <c r="I1944" s="273">
        <f>SUMPRODUCT($AE$1892:$AG$1892,$B1399:$D1399)</f>
        <v>-0.78888657208638369</v>
      </c>
      <c r="J1944" s="273">
        <f>SUMPRODUCT($AI$1892:$AK$1892,$B1399:$D1399)</f>
        <v>-0.78888657208638369</v>
      </c>
      <c r="K1944" s="265"/>
    </row>
    <row r="1945" spans="1:11">
      <c r="A1945" s="285" t="s">
        <v>1517</v>
      </c>
      <c r="B1945" s="273">
        <f>SUMPRODUCT($C$1893:$E$1893,$B1400:$D1400)</f>
        <v>0</v>
      </c>
      <c r="C1945" s="273">
        <f>SUMPRODUCT($G$1893:$I$1893,$B1400:$D1400)</f>
        <v>-0.22929555766162066</v>
      </c>
      <c r="D1945" s="273">
        <f>SUMPRODUCT($K$1893:$M$1893,$B1400:$D1400)</f>
        <v>-0.22929555766162066</v>
      </c>
      <c r="E1945" s="273">
        <f>SUMPRODUCT($O$1893:$Q$1893,$B1400:$D1400)</f>
        <v>-0.78888657208638369</v>
      </c>
      <c r="F1945" s="273">
        <f>SUMPRODUCT($S$1893:$U$1893,$B1400:$D1400)</f>
        <v>-0.78888657208638369</v>
      </c>
      <c r="G1945" s="273">
        <f>SUMPRODUCT($W$1893:$Y$1893,$B1400:$D1400)</f>
        <v>-0.22929555766162066</v>
      </c>
      <c r="H1945" s="273">
        <f>SUMPRODUCT($AA$1893:$AC$1893,$B1400:$D1400)</f>
        <v>-0.78888657208638369</v>
      </c>
      <c r="I1945" s="273">
        <f>SUMPRODUCT($AE$1893:$AG$1893,$B1400:$D1400)</f>
        <v>-0.78888657208638369</v>
      </c>
      <c r="J1945" s="273">
        <f>SUMPRODUCT($AI$1893:$AK$1893,$B1400:$D1400)</f>
        <v>-0.78888657208638369</v>
      </c>
      <c r="K1945" s="265"/>
    </row>
    <row r="1946" spans="1:11">
      <c r="A1946" s="285" t="s">
        <v>66</v>
      </c>
      <c r="B1946" s="273">
        <f>SUMPRODUCT($C$1894:$E$1894,$B1401:$D1401)</f>
        <v>0</v>
      </c>
      <c r="C1946" s="273">
        <f>SUMPRODUCT($G$1894:$I$1894,$B1401:$D1401)</f>
        <v>-0.22929555766162066</v>
      </c>
      <c r="D1946" s="273">
        <f>SUMPRODUCT($K$1894:$M$1894,$B1401:$D1401)</f>
        <v>-0.22929555766162066</v>
      </c>
      <c r="E1946" s="273">
        <f>SUMPRODUCT($O$1894:$Q$1894,$B1401:$D1401)</f>
        <v>-0.78888657208638369</v>
      </c>
      <c r="F1946" s="273">
        <f>SUMPRODUCT($S$1894:$U$1894,$B1401:$D1401)</f>
        <v>-0.78888657208638369</v>
      </c>
      <c r="G1946" s="273">
        <f>SUMPRODUCT($W$1894:$Y$1894,$B1401:$D1401)</f>
        <v>-0.22929555766162066</v>
      </c>
      <c r="H1946" s="273">
        <f>SUMPRODUCT($AA$1894:$AC$1894,$B1401:$D1401)</f>
        <v>-0.78888657208638369</v>
      </c>
      <c r="I1946" s="273">
        <f>SUMPRODUCT($AE$1894:$AG$1894,$B1401:$D1401)</f>
        <v>-0.78888657208638369</v>
      </c>
      <c r="J1946" s="273">
        <f>SUMPRODUCT($AI$1894:$AK$1894,$B1401:$D1401)</f>
        <v>-0.78888657208638369</v>
      </c>
      <c r="K1946" s="265"/>
    </row>
    <row r="1947" spans="1:11">
      <c r="A1947" s="285" t="s">
        <v>1519</v>
      </c>
      <c r="B1947" s="273">
        <f>SUMPRODUCT($C$1895:$E$1895,$B1402:$D1402)</f>
        <v>0</v>
      </c>
      <c r="C1947" s="273">
        <f>SUMPRODUCT($G$1895:$I$1895,$B1402:$D1402)</f>
        <v>-0.22929555766162066</v>
      </c>
      <c r="D1947" s="273">
        <f>SUMPRODUCT($K$1895:$M$1895,$B1402:$D1402)</f>
        <v>-0.22929555766162066</v>
      </c>
      <c r="E1947" s="273">
        <f>SUMPRODUCT($O$1895:$Q$1895,$B1402:$D1402)</f>
        <v>-0.78888657208638369</v>
      </c>
      <c r="F1947" s="273">
        <f>SUMPRODUCT($S$1895:$U$1895,$B1402:$D1402)</f>
        <v>-0.78888657208638369</v>
      </c>
      <c r="G1947" s="273">
        <f>SUMPRODUCT($W$1895:$Y$1895,$B1402:$D1402)</f>
        <v>-0.22929555766162066</v>
      </c>
      <c r="H1947" s="273">
        <f>SUMPRODUCT($AA$1895:$AC$1895,$B1402:$D1402)</f>
        <v>-0.78888657208638369</v>
      </c>
      <c r="I1947" s="273">
        <f>SUMPRODUCT($AE$1895:$AG$1895,$B1402:$D1402)</f>
        <v>-0.78888657208638369</v>
      </c>
      <c r="J1947" s="273">
        <f>SUMPRODUCT($AI$1895:$AK$1895,$B1402:$D1402)</f>
        <v>-0.78888657208638369</v>
      </c>
      <c r="K1947" s="265"/>
    </row>
    <row r="1948" spans="1:11">
      <c r="A1948" s="285" t="s">
        <v>75</v>
      </c>
      <c r="B1948" s="273">
        <f>SUMPRODUCT($C$1896:$E$1896,$B1403:$D1403)</f>
        <v>0</v>
      </c>
      <c r="C1948" s="273">
        <f>SUMPRODUCT($G$1896:$I$1896,$B1403:$D1403)</f>
        <v>-0.22929555766162066</v>
      </c>
      <c r="D1948" s="273">
        <f>SUMPRODUCT($K$1896:$M$1896,$B1403:$D1403)</f>
        <v>-0.22929555766162066</v>
      </c>
      <c r="E1948" s="273">
        <f>SUMPRODUCT($O$1896:$Q$1896,$B1403:$D1403)</f>
        <v>-0.78888657208638369</v>
      </c>
      <c r="F1948" s="273">
        <f>SUMPRODUCT($S$1896:$U$1896,$B1403:$D1403)</f>
        <v>-0.78888657208638369</v>
      </c>
      <c r="G1948" s="273">
        <f>SUMPRODUCT($W$1896:$Y$1896,$B1403:$D1403)</f>
        <v>-0.22929555766162066</v>
      </c>
      <c r="H1948" s="273">
        <f>SUMPRODUCT($AA$1896:$AC$1896,$B1403:$D1403)</f>
        <v>-0.78888657208638369</v>
      </c>
      <c r="I1948" s="273">
        <f>SUMPRODUCT($AE$1896:$AG$1896,$B1403:$D1403)</f>
        <v>-0.78888657208638369</v>
      </c>
      <c r="J1948" s="273">
        <f>SUMPRODUCT($AI$1896:$AK$1896,$B1403:$D1403)</f>
        <v>-0.78888657208638369</v>
      </c>
      <c r="K1948" s="265"/>
    </row>
    <row r="1949" spans="1:11">
      <c r="A1949" s="285" t="s">
        <v>1521</v>
      </c>
      <c r="B1949" s="273">
        <f>SUMPRODUCT($C$1897:$E$1897,$B1404:$D1404)</f>
        <v>0</v>
      </c>
      <c r="C1949" s="273">
        <f>SUMPRODUCT($G$1897:$I$1897,$B1404:$D1404)</f>
        <v>-0.22929555766162066</v>
      </c>
      <c r="D1949" s="273">
        <f>SUMPRODUCT($K$1897:$M$1897,$B1404:$D1404)</f>
        <v>-0.22929555766162066</v>
      </c>
      <c r="E1949" s="273">
        <f>SUMPRODUCT($O$1897:$Q$1897,$B1404:$D1404)</f>
        <v>-0.78888657208638369</v>
      </c>
      <c r="F1949" s="273">
        <f>SUMPRODUCT($S$1897:$U$1897,$B1404:$D1404)</f>
        <v>-0.78888657208638369</v>
      </c>
      <c r="G1949" s="273">
        <f>SUMPRODUCT($W$1897:$Y$1897,$B1404:$D1404)</f>
        <v>-0.22929555766162066</v>
      </c>
      <c r="H1949" s="273">
        <f>SUMPRODUCT($AA$1897:$AC$1897,$B1404:$D1404)</f>
        <v>-0.78888657208638369</v>
      </c>
      <c r="I1949" s="273">
        <f>SUMPRODUCT($AE$1897:$AG$1897,$B1404:$D1404)</f>
        <v>-0.78888657208638369</v>
      </c>
      <c r="J1949" s="273">
        <f>SUMPRODUCT($AI$1897:$AK$1897,$B1404:$D1404)</f>
        <v>-0.78888657208638369</v>
      </c>
      <c r="K1949" s="265"/>
    </row>
    <row r="1951" spans="1:11" ht="21" customHeight="1">
      <c r="A1951" s="1" t="s">
        <v>1315</v>
      </c>
    </row>
    <row r="1952" spans="1:11">
      <c r="A1952" s="264" t="s">
        <v>217</v>
      </c>
    </row>
    <row r="1953" spans="1:11">
      <c r="A1953" s="269" t="s">
        <v>1313</v>
      </c>
    </row>
    <row r="1954" spans="1:11">
      <c r="A1954" s="269" t="s">
        <v>463</v>
      </c>
    </row>
    <row r="1955" spans="1:11">
      <c r="A1955" s="264" t="s">
        <v>230</v>
      </c>
    </row>
    <row r="1957" spans="1:11">
      <c r="B1957" s="284" t="s">
        <v>22</v>
      </c>
      <c r="C1957" s="284" t="s">
        <v>23</v>
      </c>
      <c r="D1957" s="284" t="s">
        <v>24</v>
      </c>
      <c r="E1957" s="284" t="s">
        <v>25</v>
      </c>
      <c r="F1957" s="284" t="s">
        <v>26</v>
      </c>
      <c r="G1957" s="284" t="s">
        <v>31</v>
      </c>
      <c r="H1957" s="284" t="s">
        <v>27</v>
      </c>
      <c r="I1957" s="284" t="s">
        <v>28</v>
      </c>
      <c r="J1957" s="284" t="s">
        <v>29</v>
      </c>
    </row>
    <row r="1958" spans="1:11">
      <c r="A1958" s="285" t="s">
        <v>1178</v>
      </c>
      <c r="B1958" s="273">
        <f>SUMPRODUCT($C$1887:$E$1887,$B1409:$D1409)</f>
        <v>0</v>
      </c>
      <c r="C1958" s="273">
        <f>SUMPRODUCT($G$1887:$I$1887,$B1409:$D1409)</f>
        <v>0.17771577414806064</v>
      </c>
      <c r="D1958" s="273">
        <f>SUMPRODUCT($K$1887:$M$1887,$B1409:$D1409)</f>
        <v>0.17771577414806064</v>
      </c>
      <c r="E1958" s="273">
        <f>SUMPRODUCT($O$1887:$Q$1887,$B1409:$D1409)</f>
        <v>0.23605056358548754</v>
      </c>
      <c r="F1958" s="273">
        <f>SUMPRODUCT($S$1887:$U$1887,$B1409:$D1409)</f>
        <v>0.23605056358548754</v>
      </c>
      <c r="G1958" s="273">
        <f>SUMPRODUCT($W$1887:$Y$1887,$B1409:$D1409)</f>
        <v>0.17771577414806064</v>
      </c>
      <c r="H1958" s="273">
        <f>SUMPRODUCT($AA$1887:$AC$1887,$B1409:$D1409)</f>
        <v>0.23605056358548754</v>
      </c>
      <c r="I1958" s="273">
        <f>SUMPRODUCT($AE$1887:$AG$1887,$B1409:$D1409)</f>
        <v>0.23605056358548754</v>
      </c>
      <c r="J1958" s="273">
        <f>SUMPRODUCT($AI$1887:$AK$1887,$B1409:$D1409)</f>
        <v>0.23605056358548754</v>
      </c>
      <c r="K1958" s="265"/>
    </row>
    <row r="1959" spans="1:11">
      <c r="A1959" s="285" t="s">
        <v>1177</v>
      </c>
      <c r="B1959" s="273">
        <f>SUMPRODUCT($C$1888:$E$1888,$B1410:$D1410)</f>
        <v>0</v>
      </c>
      <c r="C1959" s="273">
        <f>SUMPRODUCT($G$1888:$I$1888,$B1410:$D1410)</f>
        <v>0.18119898658345079</v>
      </c>
      <c r="D1959" s="273">
        <f>SUMPRODUCT($K$1888:$M$1888,$B1410:$D1410)</f>
        <v>0.18119898658345079</v>
      </c>
      <c r="E1959" s="273">
        <f>SUMPRODUCT($O$1888:$Q$1888,$B1410:$D1410)</f>
        <v>0.24076004607253396</v>
      </c>
      <c r="F1959" s="273">
        <f>SUMPRODUCT($S$1888:$U$1888,$B1410:$D1410)</f>
        <v>0.24076004607253396</v>
      </c>
      <c r="G1959" s="273">
        <f>SUMPRODUCT($W$1888:$Y$1888,$B1410:$D1410)</f>
        <v>0.18119898658345079</v>
      </c>
      <c r="H1959" s="273">
        <f>SUMPRODUCT($AA$1888:$AC$1888,$B1410:$D1410)</f>
        <v>0.24076004607253396</v>
      </c>
      <c r="I1959" s="273">
        <f>SUMPRODUCT($AE$1888:$AG$1888,$B1410:$D1410)</f>
        <v>0.24076004607253396</v>
      </c>
      <c r="J1959" s="273">
        <f>SUMPRODUCT($AI$1888:$AK$1888,$B1410:$D1410)</f>
        <v>0.24076004607253396</v>
      </c>
      <c r="K1959" s="265"/>
    </row>
    <row r="1960" spans="1:11">
      <c r="A1960" s="285" t="s">
        <v>60</v>
      </c>
      <c r="B1960" s="273">
        <f>SUMPRODUCT($C$1889:$E$1889,$B1411:$D1411)</f>
        <v>0</v>
      </c>
      <c r="C1960" s="273">
        <f>SUMPRODUCT($G$1889:$I$1889,$B1411:$D1411)</f>
        <v>0.14303133158069933</v>
      </c>
      <c r="D1960" s="273">
        <f>SUMPRODUCT($K$1889:$M$1889,$B1411:$D1411)</f>
        <v>0.14303133158069933</v>
      </c>
      <c r="E1960" s="273">
        <f>SUMPRODUCT($O$1889:$Q$1889,$B1411:$D1411)</f>
        <v>0.18999449053027295</v>
      </c>
      <c r="F1960" s="273">
        <f>SUMPRODUCT($S$1889:$U$1889,$B1411:$D1411)</f>
        <v>0.18999449053027295</v>
      </c>
      <c r="G1960" s="273">
        <f>SUMPRODUCT($W$1889:$Y$1889,$B1411:$D1411)</f>
        <v>0.14303133158069933</v>
      </c>
      <c r="H1960" s="273">
        <f>SUMPRODUCT($AA$1889:$AC$1889,$B1411:$D1411)</f>
        <v>0.18999449053027295</v>
      </c>
      <c r="I1960" s="273">
        <f>SUMPRODUCT($AE$1889:$AG$1889,$B1411:$D1411)</f>
        <v>0.18999449053027295</v>
      </c>
      <c r="J1960" s="273">
        <f>SUMPRODUCT($AI$1889:$AK$1889,$B1411:$D1411)</f>
        <v>0.18999449053027295</v>
      </c>
      <c r="K1960" s="265"/>
    </row>
    <row r="1961" spans="1:11">
      <c r="A1961" s="285" t="s">
        <v>61</v>
      </c>
      <c r="B1961" s="273">
        <f>SUMPRODUCT($C$1890:$E$1890,$B1412:$D1412)</f>
        <v>0</v>
      </c>
      <c r="C1961" s="273">
        <f>SUMPRODUCT($G$1890:$I$1890,$B1412:$D1412)</f>
        <v>0.1364174336561374</v>
      </c>
      <c r="D1961" s="273">
        <f>SUMPRODUCT($K$1890:$M$1890,$B1412:$D1412)</f>
        <v>0.1364174336561374</v>
      </c>
      <c r="E1961" s="273">
        <f>SUMPRODUCT($O$1890:$Q$1890,$B1412:$D1412)</f>
        <v>0.18120897372979911</v>
      </c>
      <c r="F1961" s="273">
        <f>SUMPRODUCT($S$1890:$U$1890,$B1412:$D1412)</f>
        <v>0.18120897372979911</v>
      </c>
      <c r="G1961" s="273">
        <f>SUMPRODUCT($W$1890:$Y$1890,$B1412:$D1412)</f>
        <v>0.1364174336561374</v>
      </c>
      <c r="H1961" s="273">
        <f>SUMPRODUCT($AA$1890:$AC$1890,$B1412:$D1412)</f>
        <v>0.18120897372979911</v>
      </c>
      <c r="I1961" s="273">
        <f>SUMPRODUCT($AE$1890:$AG$1890,$B1412:$D1412)</f>
        <v>0.18120897372979911</v>
      </c>
      <c r="J1961" s="273">
        <f>SUMPRODUCT($AI$1890:$AK$1890,$B1412:$D1412)</f>
        <v>0.18120897372979911</v>
      </c>
      <c r="K1961" s="265"/>
    </row>
    <row r="1962" spans="1:11">
      <c r="A1962" s="285" t="s">
        <v>73</v>
      </c>
      <c r="B1962" s="273">
        <f>SUMPRODUCT($C$1891:$E$1891,$B1413:$D1413)</f>
        <v>0</v>
      </c>
      <c r="C1962" s="273">
        <f>SUMPRODUCT($G$1891:$I$1891,$B1413:$D1413)</f>
        <v>0.12534040314606038</v>
      </c>
      <c r="D1962" s="273">
        <f>SUMPRODUCT($K$1891:$M$1891,$B1413:$D1413)</f>
        <v>0.12534040314606038</v>
      </c>
      <c r="E1962" s="273">
        <f>SUMPRODUCT($O$1891:$Q$1891,$B1413:$D1413)</f>
        <v>0.16649489154170902</v>
      </c>
      <c r="F1962" s="273">
        <f>SUMPRODUCT($S$1891:$U$1891,$B1413:$D1413)</f>
        <v>0.16649489154170902</v>
      </c>
      <c r="G1962" s="273">
        <f>SUMPRODUCT($W$1891:$Y$1891,$B1413:$D1413)</f>
        <v>0.12534040314606038</v>
      </c>
      <c r="H1962" s="273">
        <f>SUMPRODUCT($AA$1891:$AC$1891,$B1413:$D1413)</f>
        <v>0.16649489154170902</v>
      </c>
      <c r="I1962" s="273">
        <f>SUMPRODUCT($AE$1891:$AG$1891,$B1413:$D1413)</f>
        <v>0.16649489154170902</v>
      </c>
      <c r="J1962" s="273">
        <f>SUMPRODUCT($AI$1891:$AK$1891,$B1413:$D1413)</f>
        <v>0.16649489154170902</v>
      </c>
      <c r="K1962" s="265"/>
    </row>
    <row r="1963" spans="1:11">
      <c r="A1963" s="285" t="s">
        <v>64</v>
      </c>
      <c r="B1963" s="273">
        <f>SUMPRODUCT($C$1892:$E$1892,$B1414:$D1414)</f>
        <v>0</v>
      </c>
      <c r="C1963" s="273">
        <f>SUMPRODUCT($G$1892:$I$1892,$B1414:$D1414)</f>
        <v>-0.11993002561968572</v>
      </c>
      <c r="D1963" s="273">
        <f>SUMPRODUCT($K$1892:$M$1892,$B1414:$D1414)</f>
        <v>-0.11993002561968572</v>
      </c>
      <c r="E1963" s="273">
        <f>SUMPRODUCT($O$1892:$Q$1892,$B1414:$D1414)</f>
        <v>-0.15930806114350346</v>
      </c>
      <c r="F1963" s="273">
        <f>SUMPRODUCT($S$1892:$U$1892,$B1414:$D1414)</f>
        <v>-0.15930806114350346</v>
      </c>
      <c r="G1963" s="273">
        <f>SUMPRODUCT($W$1892:$Y$1892,$B1414:$D1414)</f>
        <v>-0.11993002561968572</v>
      </c>
      <c r="H1963" s="273">
        <f>SUMPRODUCT($AA$1892:$AC$1892,$B1414:$D1414)</f>
        <v>-0.15930806114350346</v>
      </c>
      <c r="I1963" s="273">
        <f>SUMPRODUCT($AE$1892:$AG$1892,$B1414:$D1414)</f>
        <v>-0.15930806114350346</v>
      </c>
      <c r="J1963" s="273">
        <f>SUMPRODUCT($AI$1892:$AK$1892,$B1414:$D1414)</f>
        <v>-0.15930806114350346</v>
      </c>
      <c r="K1963" s="265"/>
    </row>
    <row r="1964" spans="1:11">
      <c r="A1964" s="285" t="s">
        <v>1517</v>
      </c>
      <c r="B1964" s="273">
        <f>SUMPRODUCT($C$1893:$E$1893,$B1415:$D1415)</f>
        <v>0</v>
      </c>
      <c r="C1964" s="273">
        <f>SUMPRODUCT($G$1893:$I$1893,$B1415:$D1415)</f>
        <v>-0.11993002561968572</v>
      </c>
      <c r="D1964" s="273">
        <f>SUMPRODUCT($K$1893:$M$1893,$B1415:$D1415)</f>
        <v>-0.11993002561968572</v>
      </c>
      <c r="E1964" s="273">
        <f>SUMPRODUCT($O$1893:$Q$1893,$B1415:$D1415)</f>
        <v>-0.15930806114350346</v>
      </c>
      <c r="F1964" s="273">
        <f>SUMPRODUCT($S$1893:$U$1893,$B1415:$D1415)</f>
        <v>-0.15930806114350346</v>
      </c>
      <c r="G1964" s="273">
        <f>SUMPRODUCT($W$1893:$Y$1893,$B1415:$D1415)</f>
        <v>-0.11993002561968572</v>
      </c>
      <c r="H1964" s="273">
        <f>SUMPRODUCT($AA$1893:$AC$1893,$B1415:$D1415)</f>
        <v>-0.15930806114350346</v>
      </c>
      <c r="I1964" s="273">
        <f>SUMPRODUCT($AE$1893:$AG$1893,$B1415:$D1415)</f>
        <v>-0.15930806114350346</v>
      </c>
      <c r="J1964" s="273">
        <f>SUMPRODUCT($AI$1893:$AK$1893,$B1415:$D1415)</f>
        <v>-0.15930806114350346</v>
      </c>
      <c r="K1964" s="265"/>
    </row>
    <row r="1965" spans="1:11">
      <c r="A1965" s="285" t="s">
        <v>66</v>
      </c>
      <c r="B1965" s="273">
        <f>SUMPRODUCT($C$1894:$E$1894,$B1416:$D1416)</f>
        <v>0</v>
      </c>
      <c r="C1965" s="273">
        <f>SUMPRODUCT($G$1894:$I$1894,$B1416:$D1416)</f>
        <v>-0.11993002561968572</v>
      </c>
      <c r="D1965" s="273">
        <f>SUMPRODUCT($K$1894:$M$1894,$B1416:$D1416)</f>
        <v>-0.11993002561968572</v>
      </c>
      <c r="E1965" s="273">
        <f>SUMPRODUCT($O$1894:$Q$1894,$B1416:$D1416)</f>
        <v>-0.15930806114350346</v>
      </c>
      <c r="F1965" s="273">
        <f>SUMPRODUCT($S$1894:$U$1894,$B1416:$D1416)</f>
        <v>-0.15930806114350346</v>
      </c>
      <c r="G1965" s="273">
        <f>SUMPRODUCT($W$1894:$Y$1894,$B1416:$D1416)</f>
        <v>-0.11993002561968572</v>
      </c>
      <c r="H1965" s="273">
        <f>SUMPRODUCT($AA$1894:$AC$1894,$B1416:$D1416)</f>
        <v>-0.15930806114350346</v>
      </c>
      <c r="I1965" s="273">
        <f>SUMPRODUCT($AE$1894:$AG$1894,$B1416:$D1416)</f>
        <v>-0.15930806114350346</v>
      </c>
      <c r="J1965" s="273">
        <f>SUMPRODUCT($AI$1894:$AK$1894,$B1416:$D1416)</f>
        <v>-0.15930806114350346</v>
      </c>
      <c r="K1965" s="265"/>
    </row>
    <row r="1966" spans="1:11">
      <c r="A1966" s="285" t="s">
        <v>1519</v>
      </c>
      <c r="B1966" s="273">
        <f>SUMPRODUCT($C$1895:$E$1895,$B1417:$D1417)</f>
        <v>0</v>
      </c>
      <c r="C1966" s="273">
        <f>SUMPRODUCT($G$1895:$I$1895,$B1417:$D1417)</f>
        <v>-0.11993002561968572</v>
      </c>
      <c r="D1966" s="273">
        <f>SUMPRODUCT($K$1895:$M$1895,$B1417:$D1417)</f>
        <v>-0.11993002561968572</v>
      </c>
      <c r="E1966" s="273">
        <f>SUMPRODUCT($O$1895:$Q$1895,$B1417:$D1417)</f>
        <v>-0.15930806114350346</v>
      </c>
      <c r="F1966" s="273">
        <f>SUMPRODUCT($S$1895:$U$1895,$B1417:$D1417)</f>
        <v>-0.15930806114350346</v>
      </c>
      <c r="G1966" s="273">
        <f>SUMPRODUCT($W$1895:$Y$1895,$B1417:$D1417)</f>
        <v>-0.11993002561968572</v>
      </c>
      <c r="H1966" s="273">
        <f>SUMPRODUCT($AA$1895:$AC$1895,$B1417:$D1417)</f>
        <v>-0.15930806114350346</v>
      </c>
      <c r="I1966" s="273">
        <f>SUMPRODUCT($AE$1895:$AG$1895,$B1417:$D1417)</f>
        <v>-0.15930806114350346</v>
      </c>
      <c r="J1966" s="273">
        <f>SUMPRODUCT($AI$1895:$AK$1895,$B1417:$D1417)</f>
        <v>-0.15930806114350346</v>
      </c>
      <c r="K1966" s="265"/>
    </row>
    <row r="1967" spans="1:11">
      <c r="A1967" s="285" t="s">
        <v>75</v>
      </c>
      <c r="B1967" s="273">
        <f>SUMPRODUCT($C$1896:$E$1896,$B1418:$D1418)</f>
        <v>0</v>
      </c>
      <c r="C1967" s="273">
        <f>SUMPRODUCT($G$1896:$I$1896,$B1418:$D1418)</f>
        <v>-0.11993002561968572</v>
      </c>
      <c r="D1967" s="273">
        <f>SUMPRODUCT($K$1896:$M$1896,$B1418:$D1418)</f>
        <v>-0.11993002561968572</v>
      </c>
      <c r="E1967" s="273">
        <f>SUMPRODUCT($O$1896:$Q$1896,$B1418:$D1418)</f>
        <v>-0.15930806114350346</v>
      </c>
      <c r="F1967" s="273">
        <f>SUMPRODUCT($S$1896:$U$1896,$B1418:$D1418)</f>
        <v>-0.15930806114350346</v>
      </c>
      <c r="G1967" s="273">
        <f>SUMPRODUCT($W$1896:$Y$1896,$B1418:$D1418)</f>
        <v>-0.11993002561968572</v>
      </c>
      <c r="H1967" s="273">
        <f>SUMPRODUCT($AA$1896:$AC$1896,$B1418:$D1418)</f>
        <v>-0.15930806114350346</v>
      </c>
      <c r="I1967" s="273">
        <f>SUMPRODUCT($AE$1896:$AG$1896,$B1418:$D1418)</f>
        <v>-0.15930806114350346</v>
      </c>
      <c r="J1967" s="273">
        <f>SUMPRODUCT($AI$1896:$AK$1896,$B1418:$D1418)</f>
        <v>-0.15930806114350346</v>
      </c>
      <c r="K1967" s="265"/>
    </row>
    <row r="1968" spans="1:11">
      <c r="A1968" s="285" t="s">
        <v>1521</v>
      </c>
      <c r="B1968" s="273">
        <f>SUMPRODUCT($C$1897:$E$1897,$B1419:$D1419)</f>
        <v>0</v>
      </c>
      <c r="C1968" s="273">
        <f>SUMPRODUCT($G$1897:$I$1897,$B1419:$D1419)</f>
        <v>-0.11993002561968572</v>
      </c>
      <c r="D1968" s="273">
        <f>SUMPRODUCT($K$1897:$M$1897,$B1419:$D1419)</f>
        <v>-0.11993002561968572</v>
      </c>
      <c r="E1968" s="273">
        <f>SUMPRODUCT($O$1897:$Q$1897,$B1419:$D1419)</f>
        <v>-0.15930806114350346</v>
      </c>
      <c r="F1968" s="273">
        <f>SUMPRODUCT($S$1897:$U$1897,$B1419:$D1419)</f>
        <v>-0.15930806114350346</v>
      </c>
      <c r="G1968" s="273">
        <f>SUMPRODUCT($W$1897:$Y$1897,$B1419:$D1419)</f>
        <v>-0.11993002561968572</v>
      </c>
      <c r="H1968" s="273">
        <f>SUMPRODUCT($AA$1897:$AC$1897,$B1419:$D1419)</f>
        <v>-0.15930806114350346</v>
      </c>
      <c r="I1968" s="273">
        <f>SUMPRODUCT($AE$1897:$AG$1897,$B1419:$D1419)</f>
        <v>-0.15930806114350346</v>
      </c>
      <c r="J1968" s="273">
        <f>SUMPRODUCT($AI$1897:$AK$1897,$B1419:$D1419)</f>
        <v>-0.15930806114350346</v>
      </c>
      <c r="K1968" s="265"/>
    </row>
    <row r="1970" spans="1:6" ht="21" customHeight="1">
      <c r="A1970" s="1" t="s">
        <v>1316</v>
      </c>
    </row>
    <row r="1971" spans="1:6">
      <c r="A1971" s="264" t="s">
        <v>217</v>
      </c>
    </row>
    <row r="1972" spans="1:6">
      <c r="A1972" s="269" t="s">
        <v>464</v>
      </c>
    </row>
    <row r="1973" spans="1:6">
      <c r="A1973" s="269" t="s">
        <v>398</v>
      </c>
    </row>
    <row r="1974" spans="1:6">
      <c r="A1974" s="269" t="s">
        <v>465</v>
      </c>
    </row>
    <row r="1975" spans="1:6">
      <c r="A1975" s="270" t="s">
        <v>220</v>
      </c>
      <c r="B1975" s="270" t="s">
        <v>343</v>
      </c>
      <c r="C1975" s="270" t="s">
        <v>342</v>
      </c>
      <c r="D1975" s="270"/>
      <c r="E1975" s="270"/>
    </row>
    <row r="1976" spans="1:6">
      <c r="A1976" s="270" t="s">
        <v>223</v>
      </c>
      <c r="B1976" s="270" t="s">
        <v>391</v>
      </c>
      <c r="C1976" s="270" t="s">
        <v>400</v>
      </c>
      <c r="D1976" s="270"/>
      <c r="E1976" s="270"/>
    </row>
    <row r="1978" spans="1:6">
      <c r="C1978" s="295" t="s">
        <v>466</v>
      </c>
      <c r="D1978" s="295"/>
      <c r="E1978" s="295"/>
    </row>
    <row r="1979" spans="1:6">
      <c r="B1979" s="284" t="s">
        <v>401</v>
      </c>
      <c r="C1979" s="284" t="s">
        <v>200</v>
      </c>
      <c r="D1979" s="284" t="s">
        <v>201</v>
      </c>
      <c r="E1979" s="284" t="s">
        <v>197</v>
      </c>
    </row>
    <row r="1980" spans="1:6" ht="30">
      <c r="A1980" s="285" t="s">
        <v>467</v>
      </c>
      <c r="B1980" s="299">
        <f>SUM($B315:$D315)</f>
        <v>8760</v>
      </c>
      <c r="C1980" s="299">
        <f>B315*24*$F14/$B1980</f>
        <v>152</v>
      </c>
      <c r="D1980" s="299">
        <f>C315*24*$F14/$B1980</f>
        <v>3814</v>
      </c>
      <c r="E1980" s="299">
        <f>D315*24*$F14/$B1980</f>
        <v>4794</v>
      </c>
      <c r="F1980" s="265"/>
    </row>
    <row r="1982" spans="1:6" ht="21" customHeight="1">
      <c r="A1982" s="1" t="s">
        <v>1317</v>
      </c>
    </row>
    <row r="1983" spans="1:6">
      <c r="A1983" s="264" t="s">
        <v>217</v>
      </c>
    </row>
    <row r="1984" spans="1:6">
      <c r="A1984" s="269" t="s">
        <v>468</v>
      </c>
    </row>
    <row r="1985" spans="1:6">
      <c r="A1985" s="269" t="s">
        <v>469</v>
      </c>
    </row>
    <row r="1986" spans="1:6">
      <c r="A1986" s="269" t="s">
        <v>1318</v>
      </c>
    </row>
    <row r="1987" spans="1:6">
      <c r="A1987" s="269" t="s">
        <v>408</v>
      </c>
    </row>
    <row r="1988" spans="1:6">
      <c r="A1988" s="270" t="s">
        <v>220</v>
      </c>
      <c r="B1988" s="270" t="s">
        <v>343</v>
      </c>
      <c r="C1988" s="270" t="s">
        <v>342</v>
      </c>
      <c r="D1988" s="270"/>
      <c r="E1988" s="270"/>
    </row>
    <row r="1989" spans="1:6">
      <c r="A1989" s="270" t="s">
        <v>223</v>
      </c>
      <c r="B1989" s="270" t="s">
        <v>391</v>
      </c>
      <c r="C1989" s="270" t="s">
        <v>409</v>
      </c>
      <c r="D1989" s="270"/>
      <c r="E1989" s="270"/>
    </row>
    <row r="1991" spans="1:6">
      <c r="C1991" s="295" t="s">
        <v>470</v>
      </c>
      <c r="D1991" s="295"/>
      <c r="E1991" s="295"/>
    </row>
    <row r="1992" spans="1:6">
      <c r="B1992" s="284" t="s">
        <v>410</v>
      </c>
      <c r="C1992" s="284" t="s">
        <v>200</v>
      </c>
      <c r="D1992" s="284" t="s">
        <v>201</v>
      </c>
      <c r="E1992" s="284" t="s">
        <v>197</v>
      </c>
    </row>
    <row r="1993" spans="1:6">
      <c r="A1993" s="285" t="s">
        <v>93</v>
      </c>
      <c r="B1993" s="289">
        <f>SUM($B305:$D305)</f>
        <v>1</v>
      </c>
      <c r="C1993" s="289">
        <f t="shared" ref="C1993:E1996" si="171">IF($B1993,B305/$B1993,C$1980/$F$14/24)</f>
        <v>1.7335795260789644E-2</v>
      </c>
      <c r="D1993" s="289">
        <f t="shared" si="171"/>
        <v>0.4355228684781795</v>
      </c>
      <c r="E1993" s="289">
        <f t="shared" si="171"/>
        <v>0.54714133626103079</v>
      </c>
      <c r="F1993" s="265"/>
    </row>
    <row r="1994" spans="1:6">
      <c r="A1994" s="285" t="s">
        <v>94</v>
      </c>
      <c r="B1994" s="289">
        <f>SUM($B306:$D306)</f>
        <v>1</v>
      </c>
      <c r="C1994" s="289">
        <f t="shared" si="171"/>
        <v>3.2847302717098244E-2</v>
      </c>
      <c r="D1994" s="289">
        <f t="shared" si="171"/>
        <v>0.1517630105786926</v>
      </c>
      <c r="E1994" s="289">
        <f t="shared" si="171"/>
        <v>0.81538968670420919</v>
      </c>
      <c r="F1994" s="265"/>
    </row>
    <row r="1995" spans="1:6">
      <c r="A1995" s="285" t="s">
        <v>95</v>
      </c>
      <c r="B1995" s="289">
        <f>SUM($B307:$D307)</f>
        <v>0.99999999999999989</v>
      </c>
      <c r="C1995" s="289">
        <f t="shared" si="171"/>
        <v>5.9273595790326213E-2</v>
      </c>
      <c r="D1995" s="289">
        <f t="shared" si="171"/>
        <v>0.24811484564374298</v>
      </c>
      <c r="E1995" s="289">
        <f t="shared" si="171"/>
        <v>0.69261155856593082</v>
      </c>
      <c r="F1995" s="265"/>
    </row>
    <row r="1996" spans="1:6">
      <c r="A1996" s="285" t="s">
        <v>96</v>
      </c>
      <c r="B1996" s="289">
        <f>SUM($B308:$D308)</f>
        <v>1</v>
      </c>
      <c r="C1996" s="289">
        <f t="shared" si="171"/>
        <v>2.4492897224272499E-3</v>
      </c>
      <c r="D1996" s="289">
        <f t="shared" si="171"/>
        <v>0.69957381670812457</v>
      </c>
      <c r="E1996" s="289">
        <f t="shared" si="171"/>
        <v>0.29797689356944818</v>
      </c>
      <c r="F1996" s="265"/>
    </row>
    <row r="1998" spans="1:6" ht="21" customHeight="1">
      <c r="A1998" s="1" t="s">
        <v>1319</v>
      </c>
    </row>
    <row r="1999" spans="1:6">
      <c r="A1999" s="264" t="s">
        <v>217</v>
      </c>
    </row>
    <row r="2000" spans="1:6">
      <c r="A2000" s="269" t="s">
        <v>1320</v>
      </c>
    </row>
    <row r="2001" spans="1:5">
      <c r="A2001" s="264" t="s">
        <v>471</v>
      </c>
    </row>
    <row r="2002" spans="1:5">
      <c r="A2002" s="264" t="s">
        <v>235</v>
      </c>
    </row>
    <row r="2004" spans="1:5">
      <c r="B2004" s="284" t="s">
        <v>200</v>
      </c>
      <c r="C2004" s="284" t="s">
        <v>201</v>
      </c>
      <c r="D2004" s="284" t="s">
        <v>197</v>
      </c>
    </row>
    <row r="2005" spans="1:5">
      <c r="A2005" s="285" t="s">
        <v>93</v>
      </c>
      <c r="B2005" s="298">
        <f>C$1993</f>
        <v>1.7335795260789644E-2</v>
      </c>
      <c r="C2005" s="298">
        <f>D$1993</f>
        <v>0.4355228684781795</v>
      </c>
      <c r="D2005" s="298">
        <f>E$1993</f>
        <v>0.54714133626103079</v>
      </c>
      <c r="E2005" s="265"/>
    </row>
    <row r="2006" spans="1:5">
      <c r="A2006" s="285" t="s">
        <v>94</v>
      </c>
      <c r="B2006" s="298">
        <f>C$1994</f>
        <v>3.2847302717098244E-2</v>
      </c>
      <c r="C2006" s="298">
        <f>D$1994</f>
        <v>0.1517630105786926</v>
      </c>
      <c r="D2006" s="298">
        <f>E$1994</f>
        <v>0.81538968670420919</v>
      </c>
      <c r="E2006" s="265"/>
    </row>
    <row r="2007" spans="1:5">
      <c r="A2007" s="285" t="s">
        <v>95</v>
      </c>
      <c r="B2007" s="298">
        <f>C$1995</f>
        <v>5.9273595790326213E-2</v>
      </c>
      <c r="C2007" s="298">
        <f>D$1995</f>
        <v>0.24811484564374298</v>
      </c>
      <c r="D2007" s="298">
        <f>E$1995</f>
        <v>0.69261155856593082</v>
      </c>
      <c r="E2007" s="265"/>
    </row>
    <row r="2008" spans="1:5">
      <c r="A2008" s="285" t="s">
        <v>96</v>
      </c>
      <c r="B2008" s="298">
        <f>C$1996</f>
        <v>2.4492897224272499E-3</v>
      </c>
      <c r="C2008" s="298">
        <f>D$1996</f>
        <v>0.69957381670812457</v>
      </c>
      <c r="D2008" s="298">
        <f>E$1996</f>
        <v>0.29797689356944818</v>
      </c>
      <c r="E2008" s="265"/>
    </row>
    <row r="2009" spans="1:5">
      <c r="A2009" s="285" t="s">
        <v>97</v>
      </c>
      <c r="B2009" s="297">
        <v>1</v>
      </c>
      <c r="C2009" s="297">
        <v>0</v>
      </c>
      <c r="D2009" s="297">
        <v>0</v>
      </c>
      <c r="E2009" s="265"/>
    </row>
    <row r="2011" spans="1:5" ht="21" customHeight="1">
      <c r="A2011" s="1" t="s">
        <v>1321</v>
      </c>
    </row>
    <row r="2013" spans="1:5">
      <c r="B2013" s="284" t="s">
        <v>200</v>
      </c>
      <c r="C2013" s="284" t="s">
        <v>201</v>
      </c>
      <c r="D2013" s="284" t="s">
        <v>197</v>
      </c>
    </row>
    <row r="2014" spans="1:5">
      <c r="A2014" s="285" t="s">
        <v>97</v>
      </c>
      <c r="B2014" s="297">
        <v>0</v>
      </c>
      <c r="C2014" s="297">
        <v>1</v>
      </c>
      <c r="D2014" s="297">
        <v>0</v>
      </c>
      <c r="E2014" s="265"/>
    </row>
    <row r="2016" spans="1:5" ht="21" customHeight="1">
      <c r="A2016" s="1" t="s">
        <v>1322</v>
      </c>
    </row>
    <row r="2018" spans="1:5">
      <c r="B2018" s="284" t="s">
        <v>200</v>
      </c>
      <c r="C2018" s="284" t="s">
        <v>201</v>
      </c>
      <c r="D2018" s="284" t="s">
        <v>197</v>
      </c>
    </row>
    <row r="2019" spans="1:5">
      <c r="A2019" s="285" t="s">
        <v>97</v>
      </c>
      <c r="B2019" s="297">
        <v>0</v>
      </c>
      <c r="C2019" s="297">
        <v>0</v>
      </c>
      <c r="D2019" s="297">
        <v>1</v>
      </c>
      <c r="E2019" s="265"/>
    </row>
    <row r="2021" spans="1:5" ht="21" customHeight="1">
      <c r="A2021" s="1" t="s">
        <v>1323</v>
      </c>
    </row>
    <row r="2022" spans="1:5">
      <c r="A2022" s="264" t="s">
        <v>217</v>
      </c>
    </row>
    <row r="2023" spans="1:5">
      <c r="A2023" s="269" t="s">
        <v>429</v>
      </c>
    </row>
    <row r="2024" spans="1:5">
      <c r="A2024" s="269" t="s">
        <v>430</v>
      </c>
    </row>
    <row r="2025" spans="1:5">
      <c r="A2025" s="269" t="s">
        <v>1324</v>
      </c>
    </row>
    <row r="2026" spans="1:5">
      <c r="A2026" s="269" t="s">
        <v>1325</v>
      </c>
    </row>
    <row r="2027" spans="1:5">
      <c r="A2027" s="269" t="s">
        <v>472</v>
      </c>
    </row>
    <row r="2028" spans="1:5">
      <c r="A2028" s="269" t="s">
        <v>473</v>
      </c>
    </row>
    <row r="2029" spans="1:5">
      <c r="A2029" s="270" t="s">
        <v>220</v>
      </c>
      <c r="B2029" s="270" t="s">
        <v>342</v>
      </c>
      <c r="C2029" s="270"/>
      <c r="D2029" s="270"/>
      <c r="E2029" s="270" t="s">
        <v>342</v>
      </c>
    </row>
    <row r="2030" spans="1:5">
      <c r="A2030" s="270" t="s">
        <v>223</v>
      </c>
      <c r="B2030" s="270" t="s">
        <v>474</v>
      </c>
      <c r="C2030" s="270"/>
      <c r="D2030" s="270"/>
      <c r="E2030" s="270" t="s">
        <v>475</v>
      </c>
    </row>
    <row r="2032" spans="1:5">
      <c r="B2032" s="295" t="s">
        <v>476</v>
      </c>
      <c r="C2032" s="295"/>
      <c r="D2032" s="295"/>
    </row>
    <row r="2033" spans="1:6" ht="30">
      <c r="B2033" s="284" t="s">
        <v>200</v>
      </c>
      <c r="C2033" s="284" t="s">
        <v>201</v>
      </c>
      <c r="D2033" s="284" t="s">
        <v>197</v>
      </c>
      <c r="E2033" s="284" t="s">
        <v>1157</v>
      </c>
    </row>
    <row r="2034" spans="1:6">
      <c r="A2034" s="285" t="s">
        <v>93</v>
      </c>
      <c r="B2034" s="289">
        <f>IF($B$1443&gt;0,($B$1282*B$2005)/$B$1443,0)</f>
        <v>1.7335795260789644E-2</v>
      </c>
      <c r="C2034" s="289">
        <f>IF($B$1443&gt;0,($B$1282*C$2005)/$B$1443,0)</f>
        <v>0.4355228684781795</v>
      </c>
      <c r="D2034" s="289">
        <f>IF($B$1443&gt;0,($B$1282*D$2005)/$B$1443,0)</f>
        <v>0.54714133626103079</v>
      </c>
      <c r="E2034" s="273">
        <f>IF($C$1980&gt;0,$B2034*$F$14*24/$C$1980,0)</f>
        <v>0.99908925318761366</v>
      </c>
      <c r="F2034" s="265"/>
    </row>
    <row r="2035" spans="1:6">
      <c r="A2035" s="285" t="s">
        <v>94</v>
      </c>
      <c r="B2035" s="289">
        <f>IF($B$1444&gt;0,($B$1283*B$2006)/$B$1444,0)</f>
        <v>3.2847302717098244E-2</v>
      </c>
      <c r="C2035" s="289">
        <f>IF($B$1444&gt;0,($B$1283*C$2006)/$B$1444,0)</f>
        <v>0.1517630105786926</v>
      </c>
      <c r="D2035" s="289">
        <f>IF($B$1444&gt;0,($B$1283*D$2006)/$B$1444,0)</f>
        <v>0.81538968670420919</v>
      </c>
      <c r="E2035" s="273">
        <f>IF($C$1980&gt;0,$B2035*$F$14*24/$C$1980,0)</f>
        <v>1.8930419197485566</v>
      </c>
      <c r="F2035" s="265"/>
    </row>
    <row r="2036" spans="1:6">
      <c r="A2036" s="285" t="s">
        <v>95</v>
      </c>
      <c r="B2036" s="289">
        <f>IF($B$1445&gt;0,($B$1284*B$2007)/$B$1445,0)</f>
        <v>5.9273595790326213E-2</v>
      </c>
      <c r="C2036" s="289">
        <f>IF($B$1445&gt;0,($B$1284*C$2007)/$B$1445,0)</f>
        <v>0.24811484564374298</v>
      </c>
      <c r="D2036" s="289">
        <f>IF($B$1445&gt;0,($B$1284*D$2007)/$B$1445,0)</f>
        <v>0.69261155856593082</v>
      </c>
      <c r="E2036" s="273">
        <f>IF($C$1980&gt;0,$B2036*$F$14*24/$C$1980,0)</f>
        <v>3.4160309152845896</v>
      </c>
      <c r="F2036" s="265"/>
    </row>
    <row r="2037" spans="1:6">
      <c r="A2037" s="285" t="s">
        <v>96</v>
      </c>
      <c r="B2037" s="289">
        <f>IF($B$1446&gt;0,($B$1285*B$2008)/$B$1446,0)</f>
        <v>0</v>
      </c>
      <c r="C2037" s="289">
        <f>IF($B$1446&gt;0,($B$1285*C$2008)/$B$1446,0)</f>
        <v>0</v>
      </c>
      <c r="D2037" s="289">
        <f>IF($B$1446&gt;0,($B$1285*D$2008)/$B$1446,0)</f>
        <v>0</v>
      </c>
      <c r="E2037" s="273">
        <f>IF($C$1980&gt;0,$B2037*$F$14*24/$C$1980,0)</f>
        <v>0</v>
      </c>
      <c r="F2037" s="265"/>
    </row>
    <row r="2039" spans="1:6" ht="21" customHeight="1">
      <c r="A2039" s="1" t="s">
        <v>1326</v>
      </c>
    </row>
    <row r="2040" spans="1:6">
      <c r="A2040" s="264" t="s">
        <v>217</v>
      </c>
    </row>
    <row r="2041" spans="1:6">
      <c r="A2041" s="269" t="s">
        <v>429</v>
      </c>
    </row>
    <row r="2042" spans="1:6">
      <c r="A2042" s="269" t="s">
        <v>430</v>
      </c>
    </row>
    <row r="2043" spans="1:6">
      <c r="A2043" s="269" t="s">
        <v>1324</v>
      </c>
    </row>
    <row r="2044" spans="1:6">
      <c r="A2044" s="269" t="s">
        <v>432</v>
      </c>
    </row>
    <row r="2045" spans="1:6">
      <c r="A2045" s="269" t="s">
        <v>1327</v>
      </c>
    </row>
    <row r="2046" spans="1:6">
      <c r="A2046" s="269" t="s">
        <v>440</v>
      </c>
    </row>
    <row r="2047" spans="1:6">
      <c r="A2047" s="269" t="s">
        <v>1328</v>
      </c>
    </row>
    <row r="2048" spans="1:6">
      <c r="A2048" s="269" t="s">
        <v>1329</v>
      </c>
    </row>
    <row r="2049" spans="1:6">
      <c r="A2049" s="269" t="s">
        <v>477</v>
      </c>
    </row>
    <row r="2050" spans="1:6">
      <c r="A2050" s="269" t="s">
        <v>444</v>
      </c>
    </row>
    <row r="2051" spans="1:6">
      <c r="A2051" s="270" t="s">
        <v>220</v>
      </c>
      <c r="B2051" s="270" t="s">
        <v>342</v>
      </c>
      <c r="C2051" s="270"/>
      <c r="D2051" s="270"/>
      <c r="E2051" s="270" t="s">
        <v>342</v>
      </c>
    </row>
    <row r="2052" spans="1:6">
      <c r="A2052" s="270" t="s">
        <v>223</v>
      </c>
      <c r="B2052" s="270" t="s">
        <v>445</v>
      </c>
      <c r="C2052" s="270"/>
      <c r="D2052" s="270"/>
      <c r="E2052" s="270" t="s">
        <v>446</v>
      </c>
    </row>
    <row r="2054" spans="1:6">
      <c r="B2054" s="295" t="s">
        <v>478</v>
      </c>
      <c r="C2054" s="295"/>
      <c r="D2054" s="295"/>
    </row>
    <row r="2055" spans="1:6" ht="45">
      <c r="B2055" s="284" t="s">
        <v>200</v>
      </c>
      <c r="C2055" s="284" t="s">
        <v>201</v>
      </c>
      <c r="D2055" s="284" t="s">
        <v>197</v>
      </c>
      <c r="E2055" s="284" t="s">
        <v>1156</v>
      </c>
    </row>
    <row r="2056" spans="1:6">
      <c r="A2056" s="285" t="s">
        <v>97</v>
      </c>
      <c r="B2056" s="289">
        <f>IF($B$1447&gt;0,($B$1286*B$2009+$C$1286*B$2014+$D$1286*B$2019)/$B$1447,0)</f>
        <v>3.619669745173576E-2</v>
      </c>
      <c r="C2056" s="289">
        <f>IF($B$1447&gt;0,($B$1286*C$2009+$C$1286*C$2014+$D$1286*C$2019)/$B$1447,0)</f>
        <v>0.26042906383996456</v>
      </c>
      <c r="D2056" s="289">
        <f>IF($B$1447&gt;0,($B$1286*D$2009+$C$1286*D$2014+$D$1286*D$2019)/$B$1447,0)</f>
        <v>0.70337423870829974</v>
      </c>
      <c r="E2056" s="273">
        <f>IF($C$1980&gt;0,$B2056*$F$14*24/$C$1980,0)</f>
        <v>2.086072826823719</v>
      </c>
      <c r="F2056" s="265"/>
    </row>
    <row r="2058" spans="1:6" ht="21" customHeight="1">
      <c r="A2058" s="1" t="s">
        <v>1330</v>
      </c>
    </row>
    <row r="2059" spans="1:6">
      <c r="A2059" s="264" t="s">
        <v>217</v>
      </c>
    </row>
    <row r="2060" spans="1:6">
      <c r="A2060" s="269" t="s">
        <v>1331</v>
      </c>
    </row>
    <row r="2061" spans="1:6">
      <c r="A2061" s="269" t="s">
        <v>1332</v>
      </c>
    </row>
    <row r="2062" spans="1:6">
      <c r="A2062" s="269" t="s">
        <v>1155</v>
      </c>
    </row>
    <row r="2063" spans="1:6">
      <c r="A2063" s="269" t="s">
        <v>479</v>
      </c>
    </row>
    <row r="2064" spans="1:6">
      <c r="A2064" s="269" t="s">
        <v>480</v>
      </c>
    </row>
    <row r="2065" spans="1:5">
      <c r="A2065" s="269" t="s">
        <v>481</v>
      </c>
    </row>
    <row r="2066" spans="1:5">
      <c r="A2066" s="270" t="s">
        <v>220</v>
      </c>
      <c r="B2066" s="270" t="s">
        <v>375</v>
      </c>
      <c r="C2066" s="270" t="s">
        <v>342</v>
      </c>
      <c r="D2066" s="270" t="s">
        <v>342</v>
      </c>
    </row>
    <row r="2067" spans="1:5">
      <c r="A2067" s="270" t="s">
        <v>223</v>
      </c>
      <c r="B2067" s="270" t="s">
        <v>448</v>
      </c>
      <c r="C2067" s="270" t="s">
        <v>482</v>
      </c>
      <c r="D2067" s="270" t="s">
        <v>483</v>
      </c>
    </row>
    <row r="2069" spans="1:5" ht="30">
      <c r="B2069" s="284" t="s">
        <v>1154</v>
      </c>
      <c r="C2069" s="284" t="s">
        <v>1153</v>
      </c>
      <c r="D2069" s="284" t="s">
        <v>484</v>
      </c>
    </row>
    <row r="2070" spans="1:5">
      <c r="A2070" s="285" t="s">
        <v>93</v>
      </c>
      <c r="B2070" s="274">
        <f>E$2034</f>
        <v>0.99908925318761366</v>
      </c>
      <c r="C2070" s="275">
        <f>B2070*$B$1443/24/$F$14*1000</f>
        <v>1165.2250598025284</v>
      </c>
      <c r="D2070" s="275">
        <f>B$994*B$1443/24/F$14*1000</f>
        <v>1166.2872521997961</v>
      </c>
      <c r="E2070" s="265"/>
    </row>
    <row r="2071" spans="1:5">
      <c r="A2071" s="285" t="s">
        <v>94</v>
      </c>
      <c r="B2071" s="274">
        <f>E$2035</f>
        <v>1.8930419197485566</v>
      </c>
      <c r="C2071" s="275">
        <f>B2071*$B$1444/24/$F$14*1000</f>
        <v>1701.858983194217</v>
      </c>
      <c r="D2071" s="275">
        <f>B$995*B$1444/24/F$14*1000</f>
        <v>1862.3076284424506</v>
      </c>
      <c r="E2071" s="265"/>
    </row>
    <row r="2072" spans="1:5">
      <c r="A2072" s="285" t="s">
        <v>95</v>
      </c>
      <c r="B2072" s="274">
        <f>E$2036</f>
        <v>3.4160309152845896</v>
      </c>
      <c r="C2072" s="275">
        <f>B2072*$B$1445/24/$F$14*1000</f>
        <v>387.4418379192125</v>
      </c>
      <c r="D2072" s="275">
        <f>B$996*B$1445/24/F$14*1000</f>
        <v>405.43765247360091</v>
      </c>
      <c r="E2072" s="265"/>
    </row>
    <row r="2073" spans="1:5">
      <c r="A2073" s="285" t="s">
        <v>96</v>
      </c>
      <c r="B2073" s="274">
        <f>E$2037</f>
        <v>0</v>
      </c>
      <c r="C2073" s="275">
        <f>B2073*$B$1446/24/$F$14*1000</f>
        <v>0</v>
      </c>
      <c r="D2073" s="275">
        <f>B$997*B$1446/24/F$14*1000</f>
        <v>0</v>
      </c>
      <c r="E2073" s="265"/>
    </row>
    <row r="2074" spans="1:5">
      <c r="A2074" s="285" t="s">
        <v>97</v>
      </c>
      <c r="B2074" s="274">
        <f>E$2056</f>
        <v>2.086072826823719</v>
      </c>
      <c r="C2074" s="275">
        <f>B2074*$B$1447/24/$F$14*1000</f>
        <v>27017.034479836162</v>
      </c>
      <c r="D2074" s="275">
        <f>B$998*B$1447/24/F$14*1000</f>
        <v>27619.338875810627</v>
      </c>
      <c r="E2074" s="265"/>
    </row>
    <row r="2076" spans="1:5" ht="21" customHeight="1">
      <c r="A2076" s="1" t="s">
        <v>1333</v>
      </c>
    </row>
    <row r="2077" spans="1:5">
      <c r="A2077" s="264" t="s">
        <v>217</v>
      </c>
    </row>
    <row r="2078" spans="1:5">
      <c r="A2078" s="269" t="s">
        <v>1334</v>
      </c>
    </row>
    <row r="2079" spans="1:5">
      <c r="A2079" s="269" t="s">
        <v>1335</v>
      </c>
    </row>
    <row r="2080" spans="1:5">
      <c r="A2080" s="264" t="s">
        <v>1214</v>
      </c>
    </row>
    <row r="2082" spans="1:6" ht="30">
      <c r="B2082" s="284" t="s">
        <v>1213</v>
      </c>
    </row>
    <row r="2083" spans="1:6">
      <c r="A2083" s="285" t="s">
        <v>1213</v>
      </c>
      <c r="B2083" s="273">
        <f>IF(SUM($C$2070:$C$2074),SUM($D$2070:$D$2074)/SUM($C$2070:$C$2074),0)</f>
        <v>1.0258265857080824</v>
      </c>
      <c r="C2083" s="265"/>
    </row>
    <row r="2085" spans="1:6" ht="21" customHeight="1">
      <c r="A2085" s="1" t="s">
        <v>1336</v>
      </c>
    </row>
    <row r="2086" spans="1:6">
      <c r="A2086" s="264" t="s">
        <v>217</v>
      </c>
    </row>
    <row r="2087" spans="1:6">
      <c r="A2087" s="269" t="s">
        <v>1212</v>
      </c>
    </row>
    <row r="2088" spans="1:6">
      <c r="A2088" s="269" t="s">
        <v>1737</v>
      </c>
    </row>
    <row r="2089" spans="1:6">
      <c r="A2089" s="269" t="s">
        <v>1738</v>
      </c>
    </row>
    <row r="2090" spans="1:6">
      <c r="A2090" s="269" t="s">
        <v>1739</v>
      </c>
    </row>
    <row r="2091" spans="1:6">
      <c r="A2091" s="269" t="s">
        <v>1740</v>
      </c>
    </row>
    <row r="2092" spans="1:6">
      <c r="A2092" s="269" t="s">
        <v>1741</v>
      </c>
    </row>
    <row r="2093" spans="1:6">
      <c r="A2093" s="269" t="s">
        <v>1742</v>
      </c>
    </row>
    <row r="2094" spans="1:6">
      <c r="A2094" s="270" t="s">
        <v>220</v>
      </c>
      <c r="B2094" s="270" t="s">
        <v>276</v>
      </c>
      <c r="C2094" s="270" t="s">
        <v>276</v>
      </c>
      <c r="D2094" s="270" t="s">
        <v>276</v>
      </c>
      <c r="E2094" s="270" t="s">
        <v>342</v>
      </c>
      <c r="F2094" s="270" t="s">
        <v>342</v>
      </c>
    </row>
    <row r="2095" spans="1:6" ht="30">
      <c r="A2095" s="270" t="s">
        <v>223</v>
      </c>
      <c r="B2095" s="270" t="s">
        <v>278</v>
      </c>
      <c r="C2095" s="270" t="s">
        <v>278</v>
      </c>
      <c r="D2095" s="270" t="s">
        <v>278</v>
      </c>
      <c r="E2095" s="270" t="s">
        <v>1743</v>
      </c>
      <c r="F2095" s="270" t="s">
        <v>1744</v>
      </c>
    </row>
    <row r="2097" spans="1:7">
      <c r="B2097" s="284" t="s">
        <v>486</v>
      </c>
      <c r="C2097" s="284" t="s">
        <v>487</v>
      </c>
      <c r="D2097" s="284" t="s">
        <v>488</v>
      </c>
      <c r="E2097" s="284" t="s">
        <v>489</v>
      </c>
      <c r="F2097" s="284" t="s">
        <v>209</v>
      </c>
    </row>
    <row r="2098" spans="1:7">
      <c r="A2098" s="285" t="s">
        <v>22</v>
      </c>
      <c r="B2098" s="298">
        <f t="shared" ref="B2098:B2106" si="172">$C1566</f>
        <v>1</v>
      </c>
      <c r="C2098" s="298">
        <f t="shared" ref="C2098:C2106" si="173">$D1566</f>
        <v>0</v>
      </c>
      <c r="D2098" s="298">
        <f t="shared" ref="D2098:D2106" si="174">$E1566</f>
        <v>0</v>
      </c>
      <c r="E2098" s="289">
        <f t="shared" ref="E2098:E2106" si="175">IF($E329,MAX(0,$C2098+$B2098-$E329),IF($B1566,1/0,0))</f>
        <v>7.8435168409350386E-2</v>
      </c>
      <c r="F2098" s="289">
        <f t="shared" ref="F2098:F2106" si="176">1-$E2098-$D2098</f>
        <v>0.92156483159064961</v>
      </c>
      <c r="G2098" s="265"/>
    </row>
    <row r="2099" spans="1:7">
      <c r="A2099" s="285" t="s">
        <v>23</v>
      </c>
      <c r="B2099" s="298">
        <f t="shared" si="172"/>
        <v>0.84421935577541163</v>
      </c>
      <c r="C2099" s="298">
        <f t="shared" si="173"/>
        <v>9.0147705546417989E-2</v>
      </c>
      <c r="D2099" s="298">
        <f t="shared" si="174"/>
        <v>6.5632938678170466E-2</v>
      </c>
      <c r="E2099" s="289">
        <f t="shared" si="175"/>
        <v>0.12842996933114537</v>
      </c>
      <c r="F2099" s="289">
        <f t="shared" si="176"/>
        <v>0.8059370919906842</v>
      </c>
      <c r="G2099" s="265"/>
    </row>
    <row r="2100" spans="1:7">
      <c r="A2100" s="285" t="s">
        <v>24</v>
      </c>
      <c r="B2100" s="298">
        <f t="shared" si="172"/>
        <v>0.84421935577541163</v>
      </c>
      <c r="C2100" s="298">
        <f t="shared" si="173"/>
        <v>9.0147705546417989E-2</v>
      </c>
      <c r="D2100" s="298">
        <f t="shared" si="174"/>
        <v>6.5632938678170466E-2</v>
      </c>
      <c r="E2100" s="289">
        <f t="shared" si="175"/>
        <v>0.12842996933114537</v>
      </c>
      <c r="F2100" s="289">
        <f t="shared" si="176"/>
        <v>0.8059370919906842</v>
      </c>
      <c r="G2100" s="265"/>
    </row>
    <row r="2101" spans="1:7">
      <c r="A2101" s="285" t="s">
        <v>25</v>
      </c>
      <c r="B2101" s="298">
        <f t="shared" si="172"/>
        <v>0.60266573066353191</v>
      </c>
      <c r="C2101" s="298">
        <f t="shared" si="173"/>
        <v>0.31015129614903031</v>
      </c>
      <c r="D2101" s="298">
        <f t="shared" si="174"/>
        <v>8.7182973187437854E-2</v>
      </c>
      <c r="E2101" s="289">
        <f t="shared" si="175"/>
        <v>0.3773348968741933</v>
      </c>
      <c r="F2101" s="289">
        <f t="shared" si="176"/>
        <v>0.53548212993836886</v>
      </c>
      <c r="G2101" s="265"/>
    </row>
    <row r="2102" spans="1:7">
      <c r="A2102" s="285" t="s">
        <v>26</v>
      </c>
      <c r="B2102" s="298">
        <f t="shared" si="172"/>
        <v>0.60266573066353191</v>
      </c>
      <c r="C2102" s="298">
        <f t="shared" si="173"/>
        <v>0.31015129614903031</v>
      </c>
      <c r="D2102" s="298">
        <f t="shared" si="174"/>
        <v>8.7182973187437854E-2</v>
      </c>
      <c r="E2102" s="289">
        <f t="shared" si="175"/>
        <v>0.3773348968741933</v>
      </c>
      <c r="F2102" s="289">
        <f t="shared" si="176"/>
        <v>0.53548212993836886</v>
      </c>
      <c r="G2102" s="265"/>
    </row>
    <row r="2103" spans="1:7">
      <c r="A2103" s="285" t="s">
        <v>31</v>
      </c>
      <c r="B2103" s="298">
        <f t="shared" si="172"/>
        <v>0.84421935577541163</v>
      </c>
      <c r="C2103" s="298">
        <f t="shared" si="173"/>
        <v>9.0147705546417989E-2</v>
      </c>
      <c r="D2103" s="298">
        <f t="shared" si="174"/>
        <v>6.5632938678170466E-2</v>
      </c>
      <c r="E2103" s="289">
        <f t="shared" si="175"/>
        <v>0.12842996933114537</v>
      </c>
      <c r="F2103" s="289">
        <f t="shared" si="176"/>
        <v>0.8059370919906842</v>
      </c>
      <c r="G2103" s="265"/>
    </row>
    <row r="2104" spans="1:7">
      <c r="A2104" s="285" t="s">
        <v>27</v>
      </c>
      <c r="B2104" s="298">
        <f t="shared" si="172"/>
        <v>0.60266573066353191</v>
      </c>
      <c r="C2104" s="298">
        <f t="shared" si="173"/>
        <v>0.31015129614903031</v>
      </c>
      <c r="D2104" s="298">
        <f t="shared" si="174"/>
        <v>8.7182973187437854E-2</v>
      </c>
      <c r="E2104" s="289">
        <f t="shared" si="175"/>
        <v>0.3773348968741933</v>
      </c>
      <c r="F2104" s="289">
        <f t="shared" si="176"/>
        <v>0.53548212993836886</v>
      </c>
      <c r="G2104" s="265"/>
    </row>
    <row r="2105" spans="1:7">
      <c r="A2105" s="285" t="s">
        <v>28</v>
      </c>
      <c r="B2105" s="298">
        <f t="shared" si="172"/>
        <v>0.60266573066353191</v>
      </c>
      <c r="C2105" s="298">
        <f t="shared" si="173"/>
        <v>0.31015129614903031</v>
      </c>
      <c r="D2105" s="298">
        <f t="shared" si="174"/>
        <v>8.7182973187437854E-2</v>
      </c>
      <c r="E2105" s="289">
        <f t="shared" si="175"/>
        <v>0.3773348968741933</v>
      </c>
      <c r="F2105" s="289">
        <f t="shared" si="176"/>
        <v>0.53548212993836886</v>
      </c>
      <c r="G2105" s="265"/>
    </row>
    <row r="2106" spans="1:7">
      <c r="A2106" s="285" t="s">
        <v>29</v>
      </c>
      <c r="B2106" s="298">
        <f t="shared" si="172"/>
        <v>0.60266573066353191</v>
      </c>
      <c r="C2106" s="298">
        <f t="shared" si="173"/>
        <v>0.31015129614903031</v>
      </c>
      <c r="D2106" s="298">
        <f t="shared" si="174"/>
        <v>8.7182973187437854E-2</v>
      </c>
      <c r="E2106" s="289">
        <f t="shared" si="175"/>
        <v>0.3773348968741933</v>
      </c>
      <c r="F2106" s="289">
        <f t="shared" si="176"/>
        <v>0.53548212993836886</v>
      </c>
      <c r="G2106" s="265"/>
    </row>
    <row r="2108" spans="1:7" ht="21" customHeight="1">
      <c r="A2108" s="1" t="s">
        <v>1337</v>
      </c>
    </row>
    <row r="2109" spans="1:7">
      <c r="A2109" s="264" t="s">
        <v>217</v>
      </c>
    </row>
    <row r="2110" spans="1:7">
      <c r="A2110" s="269" t="s">
        <v>1338</v>
      </c>
    </row>
    <row r="2111" spans="1:7">
      <c r="A2111" s="269" t="s">
        <v>1339</v>
      </c>
    </row>
    <row r="2112" spans="1:7">
      <c r="A2112" s="269" t="s">
        <v>1340</v>
      </c>
    </row>
    <row r="2113" spans="1:5">
      <c r="A2113" s="264" t="s">
        <v>257</v>
      </c>
    </row>
    <row r="2115" spans="1:5">
      <c r="B2115" s="284" t="s">
        <v>200</v>
      </c>
      <c r="C2115" s="284" t="s">
        <v>201</v>
      </c>
      <c r="D2115" s="284" t="s">
        <v>197</v>
      </c>
    </row>
    <row r="2116" spans="1:5">
      <c r="A2116" s="285" t="s">
        <v>22</v>
      </c>
      <c r="B2116" s="298">
        <f>$F$2098</f>
        <v>0.92156483159064961</v>
      </c>
      <c r="C2116" s="298">
        <f>$E$2098</f>
        <v>7.8435168409350386E-2</v>
      </c>
      <c r="D2116" s="298">
        <f>$D$2098</f>
        <v>0</v>
      </c>
      <c r="E2116" s="265"/>
    </row>
    <row r="2117" spans="1:5">
      <c r="A2117" s="285" t="s">
        <v>23</v>
      </c>
      <c r="B2117" s="298">
        <f>$F$2099</f>
        <v>0.8059370919906842</v>
      </c>
      <c r="C2117" s="298">
        <f>$E$2099</f>
        <v>0.12842996933114537</v>
      </c>
      <c r="D2117" s="298">
        <f>$D$2099</f>
        <v>6.5632938678170466E-2</v>
      </c>
      <c r="E2117" s="265"/>
    </row>
    <row r="2118" spans="1:5">
      <c r="A2118" s="285" t="s">
        <v>24</v>
      </c>
      <c r="B2118" s="298">
        <f>$F$2100</f>
        <v>0.8059370919906842</v>
      </c>
      <c r="C2118" s="298">
        <f>$E$2100</f>
        <v>0.12842996933114537</v>
      </c>
      <c r="D2118" s="298">
        <f>$D$2100</f>
        <v>6.5632938678170466E-2</v>
      </c>
      <c r="E2118" s="265"/>
    </row>
    <row r="2119" spans="1:5">
      <c r="A2119" s="285" t="s">
        <v>25</v>
      </c>
      <c r="B2119" s="298">
        <f>$F$2101</f>
        <v>0.53548212993836886</v>
      </c>
      <c r="C2119" s="298">
        <f>$E$2101</f>
        <v>0.3773348968741933</v>
      </c>
      <c r="D2119" s="298">
        <f>$D$2101</f>
        <v>8.7182973187437854E-2</v>
      </c>
      <c r="E2119" s="265"/>
    </row>
    <row r="2120" spans="1:5">
      <c r="A2120" s="285" t="s">
        <v>26</v>
      </c>
      <c r="B2120" s="298">
        <f>$F$2102</f>
        <v>0.53548212993836886</v>
      </c>
      <c r="C2120" s="298">
        <f>$E$2102</f>
        <v>0.3773348968741933</v>
      </c>
      <c r="D2120" s="298">
        <f>$D$2102</f>
        <v>8.7182973187437854E-2</v>
      </c>
      <c r="E2120" s="265"/>
    </row>
    <row r="2121" spans="1:5">
      <c r="A2121" s="285" t="s">
        <v>31</v>
      </c>
      <c r="B2121" s="298">
        <f>$F$2103</f>
        <v>0.8059370919906842</v>
      </c>
      <c r="C2121" s="298">
        <f>$E$2103</f>
        <v>0.12842996933114537</v>
      </c>
      <c r="D2121" s="298">
        <f>$D$2103</f>
        <v>6.5632938678170466E-2</v>
      </c>
      <c r="E2121" s="265"/>
    </row>
    <row r="2122" spans="1:5">
      <c r="A2122" s="285" t="s">
        <v>27</v>
      </c>
      <c r="B2122" s="298">
        <f>$F$2104</f>
        <v>0.53548212993836886</v>
      </c>
      <c r="C2122" s="298">
        <f>$E$2104</f>
        <v>0.3773348968741933</v>
      </c>
      <c r="D2122" s="298">
        <f>$D$2104</f>
        <v>8.7182973187437854E-2</v>
      </c>
      <c r="E2122" s="265"/>
    </row>
    <row r="2123" spans="1:5">
      <c r="A2123" s="285" t="s">
        <v>28</v>
      </c>
      <c r="B2123" s="298">
        <f>$F$2105</f>
        <v>0.53548212993836886</v>
      </c>
      <c r="C2123" s="298">
        <f>$E$2105</f>
        <v>0.3773348968741933</v>
      </c>
      <c r="D2123" s="298">
        <f>$D$2105</f>
        <v>8.7182973187437854E-2</v>
      </c>
      <c r="E2123" s="265"/>
    </row>
    <row r="2124" spans="1:5">
      <c r="A2124" s="285" t="s">
        <v>29</v>
      </c>
      <c r="B2124" s="298">
        <f>$F$2106</f>
        <v>0.53548212993836886</v>
      </c>
      <c r="C2124" s="298">
        <f>$E$2106</f>
        <v>0.3773348968741933</v>
      </c>
      <c r="D2124" s="298">
        <f>$D$2106</f>
        <v>8.7182973187437854E-2</v>
      </c>
      <c r="E2124" s="265"/>
    </row>
    <row r="2126" spans="1:5" ht="21" customHeight="1">
      <c r="A2126" s="1" t="s">
        <v>1341</v>
      </c>
    </row>
    <row r="2127" spans="1:5">
      <c r="A2127" s="264" t="s">
        <v>217</v>
      </c>
    </row>
    <row r="2128" spans="1:5">
      <c r="A2128" s="269" t="s">
        <v>1342</v>
      </c>
    </row>
    <row r="2129" spans="1:38">
      <c r="A2129" s="264" t="s">
        <v>457</v>
      </c>
    </row>
    <row r="2131" spans="1:38">
      <c r="B2131" s="288" t="s">
        <v>22</v>
      </c>
      <c r="C2131" s="284" t="s">
        <v>200</v>
      </c>
      <c r="D2131" s="284" t="s">
        <v>201</v>
      </c>
      <c r="E2131" s="284" t="s">
        <v>197</v>
      </c>
      <c r="F2131" s="288" t="s">
        <v>23</v>
      </c>
      <c r="G2131" s="284" t="s">
        <v>200</v>
      </c>
      <c r="H2131" s="284" t="s">
        <v>201</v>
      </c>
      <c r="I2131" s="284" t="s">
        <v>197</v>
      </c>
      <c r="J2131" s="288" t="s">
        <v>24</v>
      </c>
      <c r="K2131" s="284" t="s">
        <v>200</v>
      </c>
      <c r="L2131" s="284" t="s">
        <v>201</v>
      </c>
      <c r="M2131" s="284" t="s">
        <v>197</v>
      </c>
      <c r="N2131" s="288" t="s">
        <v>25</v>
      </c>
      <c r="O2131" s="284" t="s">
        <v>200</v>
      </c>
      <c r="P2131" s="284" t="s">
        <v>201</v>
      </c>
      <c r="Q2131" s="284" t="s">
        <v>197</v>
      </c>
      <c r="R2131" s="288" t="s">
        <v>26</v>
      </c>
      <c r="S2131" s="284" t="s">
        <v>200</v>
      </c>
      <c r="T2131" s="284" t="s">
        <v>201</v>
      </c>
      <c r="U2131" s="284" t="s">
        <v>197</v>
      </c>
      <c r="V2131" s="288" t="s">
        <v>31</v>
      </c>
      <c r="W2131" s="284" t="s">
        <v>200</v>
      </c>
      <c r="X2131" s="284" t="s">
        <v>201</v>
      </c>
      <c r="Y2131" s="284" t="s">
        <v>197</v>
      </c>
      <c r="Z2131" s="288" t="s">
        <v>27</v>
      </c>
      <c r="AA2131" s="284" t="s">
        <v>200</v>
      </c>
      <c r="AB2131" s="284" t="s">
        <v>201</v>
      </c>
      <c r="AC2131" s="284" t="s">
        <v>197</v>
      </c>
      <c r="AD2131" s="288" t="s">
        <v>28</v>
      </c>
      <c r="AE2131" s="284" t="s">
        <v>200</v>
      </c>
      <c r="AF2131" s="284" t="s">
        <v>201</v>
      </c>
      <c r="AG2131" s="284" t="s">
        <v>197</v>
      </c>
      <c r="AH2131" s="288" t="s">
        <v>29</v>
      </c>
      <c r="AI2131" s="284" t="s">
        <v>200</v>
      </c>
      <c r="AJ2131" s="284" t="s">
        <v>201</v>
      </c>
      <c r="AK2131" s="284" t="s">
        <v>197</v>
      </c>
    </row>
    <row r="2132" spans="1:38">
      <c r="A2132" s="285" t="s">
        <v>458</v>
      </c>
      <c r="C2132" s="298">
        <f>B$2116</f>
        <v>0.92156483159064961</v>
      </c>
      <c r="D2132" s="298">
        <f>C$2116</f>
        <v>7.8435168409350386E-2</v>
      </c>
      <c r="E2132" s="298">
        <f>D$2116</f>
        <v>0</v>
      </c>
      <c r="G2132" s="298">
        <f>B$2117</f>
        <v>0.8059370919906842</v>
      </c>
      <c r="H2132" s="298">
        <f>C$2117</f>
        <v>0.12842996933114537</v>
      </c>
      <c r="I2132" s="298">
        <f>D$2117</f>
        <v>6.5632938678170466E-2</v>
      </c>
      <c r="K2132" s="298">
        <f>B$2118</f>
        <v>0.8059370919906842</v>
      </c>
      <c r="L2132" s="298">
        <f>C$2118</f>
        <v>0.12842996933114537</v>
      </c>
      <c r="M2132" s="298">
        <f>D$2118</f>
        <v>6.5632938678170466E-2</v>
      </c>
      <c r="O2132" s="298">
        <f>B$2119</f>
        <v>0.53548212993836886</v>
      </c>
      <c r="P2132" s="298">
        <f>C$2119</f>
        <v>0.3773348968741933</v>
      </c>
      <c r="Q2132" s="298">
        <f>D$2119</f>
        <v>8.7182973187437854E-2</v>
      </c>
      <c r="S2132" s="298">
        <f>B$2120</f>
        <v>0.53548212993836886</v>
      </c>
      <c r="T2132" s="298">
        <f>C$2120</f>
        <v>0.3773348968741933</v>
      </c>
      <c r="U2132" s="298">
        <f>D$2120</f>
        <v>8.7182973187437854E-2</v>
      </c>
      <c r="W2132" s="298">
        <f>B$2121</f>
        <v>0.8059370919906842</v>
      </c>
      <c r="X2132" s="298">
        <f>C$2121</f>
        <v>0.12842996933114537</v>
      </c>
      <c r="Y2132" s="298">
        <f>D$2121</f>
        <v>6.5632938678170466E-2</v>
      </c>
      <c r="AA2132" s="298">
        <f>B$2122</f>
        <v>0.53548212993836886</v>
      </c>
      <c r="AB2132" s="298">
        <f>C$2122</f>
        <v>0.3773348968741933</v>
      </c>
      <c r="AC2132" s="298">
        <f>D$2122</f>
        <v>8.7182973187437854E-2</v>
      </c>
      <c r="AE2132" s="298">
        <f>B$2123</f>
        <v>0.53548212993836886</v>
      </c>
      <c r="AF2132" s="298">
        <f>C$2123</f>
        <v>0.3773348968741933</v>
      </c>
      <c r="AG2132" s="298">
        <f>D$2123</f>
        <v>8.7182973187437854E-2</v>
      </c>
      <c r="AI2132" s="298">
        <f>B$2124</f>
        <v>0.53548212993836886</v>
      </c>
      <c r="AJ2132" s="298">
        <f>C$2124</f>
        <v>0.3773348968741933</v>
      </c>
      <c r="AK2132" s="298">
        <f>D$2124</f>
        <v>8.7182973187437854E-2</v>
      </c>
      <c r="AL2132" s="265"/>
    </row>
    <row r="2134" spans="1:38" ht="21" customHeight="1">
      <c r="A2134" s="1" t="s">
        <v>1343</v>
      </c>
    </row>
    <row r="2135" spans="1:38">
      <c r="A2135" s="264" t="s">
        <v>217</v>
      </c>
    </row>
    <row r="2136" spans="1:38">
      <c r="A2136" s="269" t="s">
        <v>1344</v>
      </c>
    </row>
    <row r="2137" spans="1:38">
      <c r="A2137" s="269" t="s">
        <v>1345</v>
      </c>
    </row>
    <row r="2138" spans="1:38">
      <c r="A2138" s="269" t="s">
        <v>1346</v>
      </c>
    </row>
    <row r="2139" spans="1:38">
      <c r="A2139" s="269" t="s">
        <v>408</v>
      </c>
    </row>
    <row r="2140" spans="1:38">
      <c r="A2140" s="264" t="s">
        <v>460</v>
      </c>
    </row>
    <row r="2142" spans="1:38">
      <c r="B2142" s="288" t="s">
        <v>22</v>
      </c>
      <c r="C2142" s="284" t="s">
        <v>200</v>
      </c>
      <c r="D2142" s="284" t="s">
        <v>201</v>
      </c>
      <c r="E2142" s="284" t="s">
        <v>197</v>
      </c>
      <c r="F2142" s="288" t="s">
        <v>23</v>
      </c>
      <c r="G2142" s="284" t="s">
        <v>200</v>
      </c>
      <c r="H2142" s="284" t="s">
        <v>201</v>
      </c>
      <c r="I2142" s="284" t="s">
        <v>197</v>
      </c>
      <c r="J2142" s="288" t="s">
        <v>24</v>
      </c>
      <c r="K2142" s="284" t="s">
        <v>200</v>
      </c>
      <c r="L2142" s="284" t="s">
        <v>201</v>
      </c>
      <c r="M2142" s="284" t="s">
        <v>197</v>
      </c>
      <c r="N2142" s="288" t="s">
        <v>25</v>
      </c>
      <c r="O2142" s="284" t="s">
        <v>200</v>
      </c>
      <c r="P2142" s="284" t="s">
        <v>201</v>
      </c>
      <c r="Q2142" s="284" t="s">
        <v>197</v>
      </c>
      <c r="R2142" s="288" t="s">
        <v>26</v>
      </c>
      <c r="S2142" s="284" t="s">
        <v>200</v>
      </c>
      <c r="T2142" s="284" t="s">
        <v>201</v>
      </c>
      <c r="U2142" s="284" t="s">
        <v>197</v>
      </c>
      <c r="V2142" s="288" t="s">
        <v>31</v>
      </c>
      <c r="W2142" s="284" t="s">
        <v>200</v>
      </c>
      <c r="X2142" s="284" t="s">
        <v>201</v>
      </c>
      <c r="Y2142" s="284" t="s">
        <v>197</v>
      </c>
      <c r="Z2142" s="288" t="s">
        <v>27</v>
      </c>
      <c r="AA2142" s="284" t="s">
        <v>200</v>
      </c>
      <c r="AB2142" s="284" t="s">
        <v>201</v>
      </c>
      <c r="AC2142" s="284" t="s">
        <v>197</v>
      </c>
      <c r="AD2142" s="288" t="s">
        <v>28</v>
      </c>
      <c r="AE2142" s="284" t="s">
        <v>200</v>
      </c>
      <c r="AF2142" s="284" t="s">
        <v>201</v>
      </c>
      <c r="AG2142" s="284" t="s">
        <v>197</v>
      </c>
      <c r="AH2142" s="288" t="s">
        <v>29</v>
      </c>
      <c r="AI2142" s="284" t="s">
        <v>200</v>
      </c>
      <c r="AJ2142" s="284" t="s">
        <v>201</v>
      </c>
      <c r="AK2142" s="284" t="s">
        <v>197</v>
      </c>
    </row>
    <row r="2143" spans="1:38" ht="30">
      <c r="A2143" s="285" t="s">
        <v>1347</v>
      </c>
      <c r="C2143" s="273">
        <f>IF(C1980&gt;0,$B2083*C2132*24*$F14/C1980,0)</f>
        <v>54.48291824451114</v>
      </c>
      <c r="D2143" s="273">
        <f>IF(D1980&gt;0,$B2083*D2132*24*$F14/D1980,0)</f>
        <v>0.1848026527627448</v>
      </c>
      <c r="E2143" s="273">
        <f>IF(E1980&gt;0,$B2083*E2132*24*$F14/E1980,0)</f>
        <v>0</v>
      </c>
      <c r="G2143" s="273">
        <f>IF(C1980&gt;0,$B2083*G2132*24*$F14/C1980,0)</f>
        <v>47.647005601719641</v>
      </c>
      <c r="H2143" s="273">
        <f>IF(D1980&gt;0,$B2083*H2132*24*$F14/D1980,0)</f>
        <v>0.30259639276562356</v>
      </c>
      <c r="I2143" s="273">
        <f>IF(E1980&gt;0,$B2083*I2132*24*$F14/E1980,0)</f>
        <v>0.12302740870532504</v>
      </c>
      <c r="K2143" s="273">
        <f>IF(C1980&gt;0,$B2083*K2132*24*$F14/C1980,0)</f>
        <v>47.647005601719641</v>
      </c>
      <c r="L2143" s="273">
        <f>IF(D1980&gt;0,$B2083*L2132*24*$F14/D1980,0)</f>
        <v>0.30259639276562356</v>
      </c>
      <c r="M2143" s="273">
        <f>IF(E1980&gt;0,$B2083*M2132*24*$F14/E1980,0)</f>
        <v>0.12302740870532504</v>
      </c>
      <c r="O2143" s="273">
        <f>IF(C1980&gt;0,$B2083*O2132*24*$F14/C1980,0)</f>
        <v>31.65770666017335</v>
      </c>
      <c r="P2143" s="273">
        <f>IF(D1980&gt;0,$B2083*P2132*24*$F14/D1980,0)</f>
        <v>0.8890462191446602</v>
      </c>
      <c r="Q2143" s="273">
        <f>IF(E1980&gt;0,$B2083*Q2132*24*$F14/E1980,0)</f>
        <v>0.16342244443861462</v>
      </c>
      <c r="S2143" s="273">
        <f>IF(C1980&gt;0,$B2083*S2132*24*$F14/C1980,0)</f>
        <v>31.65770666017335</v>
      </c>
      <c r="T2143" s="273">
        <f>IF(D1980&gt;0,$B2083*T2132*24*$F14/D1980,0)</f>
        <v>0.8890462191446602</v>
      </c>
      <c r="U2143" s="273">
        <f>IF(E1980&gt;0,$B2083*U2132*24*$F14/E1980,0)</f>
        <v>0.16342244443861462</v>
      </c>
      <c r="W2143" s="273">
        <f>IF(C1980&gt;0,$B2083*W2132*24*$F14/C1980,0)</f>
        <v>47.647005601719641</v>
      </c>
      <c r="X2143" s="273">
        <f>IF(D1980&gt;0,$B2083*X2132*24*$F14/D1980,0)</f>
        <v>0.30259639276562356</v>
      </c>
      <c r="Y2143" s="273">
        <f>IF(E1980&gt;0,$B2083*Y2132*24*$F14/E1980,0)</f>
        <v>0.12302740870532504</v>
      </c>
      <c r="AA2143" s="273">
        <f>IF(C1980&gt;0,$B2083*AA2132*24*$F14/C1980,0)</f>
        <v>31.65770666017335</v>
      </c>
      <c r="AB2143" s="273">
        <f>IF(D1980&gt;0,$B2083*AB2132*24*$F14/D1980,0)</f>
        <v>0.8890462191446602</v>
      </c>
      <c r="AC2143" s="273">
        <f>IF(E1980&gt;0,$B2083*AC2132*24*$F14/E1980,0)</f>
        <v>0.16342244443861462</v>
      </c>
      <c r="AE2143" s="273">
        <f>IF(C1980&gt;0,$B2083*AE2132*24*$F14/C1980,0)</f>
        <v>31.65770666017335</v>
      </c>
      <c r="AF2143" s="273">
        <f>IF(D1980&gt;0,$B2083*AF2132*24*$F14/D1980,0)</f>
        <v>0.8890462191446602</v>
      </c>
      <c r="AG2143" s="273">
        <f>IF(E1980&gt;0,$B2083*AG2132*24*$F14/E1980,0)</f>
        <v>0.16342244443861462</v>
      </c>
      <c r="AI2143" s="273">
        <f>IF(C1980&gt;0,$B2083*AI2132*24*$F14/C1980,0)</f>
        <v>31.65770666017335</v>
      </c>
      <c r="AJ2143" s="273">
        <f>IF(D1980&gt;0,$B2083*AJ2132*24*$F14/D1980,0)</f>
        <v>0.8890462191446602</v>
      </c>
      <c r="AK2143" s="273">
        <f>IF(E1980&gt;0,$B2083*AK2132*24*$F14/E1980,0)</f>
        <v>0.16342244443861462</v>
      </c>
      <c r="AL2143" s="265"/>
    </row>
    <row r="2145" spans="1:11" ht="21" customHeight="1">
      <c r="A2145" s="1" t="s">
        <v>1348</v>
      </c>
    </row>
    <row r="2146" spans="1:11">
      <c r="A2146" s="264" t="s">
        <v>217</v>
      </c>
    </row>
    <row r="2147" spans="1:11">
      <c r="A2147" s="269" t="s">
        <v>1349</v>
      </c>
    </row>
    <row r="2148" spans="1:11">
      <c r="A2148" s="269" t="s">
        <v>1350</v>
      </c>
    </row>
    <row r="2149" spans="1:11">
      <c r="A2149" s="264" t="s">
        <v>230</v>
      </c>
    </row>
    <row r="2151" spans="1:11">
      <c r="B2151" s="284" t="s">
        <v>22</v>
      </c>
      <c r="C2151" s="284" t="s">
        <v>23</v>
      </c>
      <c r="D2151" s="284" t="s">
        <v>24</v>
      </c>
      <c r="E2151" s="284" t="s">
        <v>25</v>
      </c>
      <c r="F2151" s="284" t="s">
        <v>26</v>
      </c>
      <c r="G2151" s="284" t="s">
        <v>31</v>
      </c>
      <c r="H2151" s="284" t="s">
        <v>27</v>
      </c>
      <c r="I2151" s="284" t="s">
        <v>28</v>
      </c>
      <c r="J2151" s="284" t="s">
        <v>29</v>
      </c>
    </row>
    <row r="2152" spans="1:11">
      <c r="A2152" s="285" t="s">
        <v>93</v>
      </c>
      <c r="B2152" s="273">
        <f>SUMPRODUCT($C$2143:$E$2143,$B2005:$D2005)</f>
        <v>1.0249904973307935</v>
      </c>
      <c r="C2152" s="273">
        <f>SUMPRODUCT($G$2143:$I$2143,$B2005:$D2005)</f>
        <v>1.0250997636653068</v>
      </c>
      <c r="D2152" s="273">
        <f>SUMPRODUCT($K$2143:$M$2143,$B2005:$D2005)</f>
        <v>1.0250997636653068</v>
      </c>
      <c r="E2152" s="273">
        <f>SUMPRODUCT($O$2143:$Q$2143,$B2005:$D2005)</f>
        <v>1.0254266552836522</v>
      </c>
      <c r="F2152" s="273">
        <f>SUMPRODUCT($S$2143:$U$2143,$B2005:$D2005)</f>
        <v>1.0254266552836522</v>
      </c>
      <c r="G2152" s="273">
        <f>SUMPRODUCT($W$2143:$Y$2143,$B2005:$D2005)</f>
        <v>1.0250997636653068</v>
      </c>
      <c r="H2152" s="273">
        <f>SUMPRODUCT($AA$2143:$AC$2143,$B2005:$D2005)</f>
        <v>1.0254266552836522</v>
      </c>
      <c r="I2152" s="273">
        <f>SUMPRODUCT($AE$2143:$AG$2143,$B2005:$D2005)</f>
        <v>1.0254266552836522</v>
      </c>
      <c r="J2152" s="273">
        <f>SUMPRODUCT($AI$2143:$AK$2143,$B2005:$D2005)</f>
        <v>1.0254266552836522</v>
      </c>
      <c r="K2152" s="265"/>
    </row>
    <row r="2153" spans="1:11">
      <c r="A2153" s="285" t="s">
        <v>94</v>
      </c>
      <c r="B2153" s="273">
        <f>SUMPRODUCT($C$2143:$E$2143,$B2006:$D2006)</f>
        <v>1.817663115434575</v>
      </c>
      <c r="C2153" s="273">
        <f>SUMPRODUCT($G$2143:$I$2143,$B2006:$D2006)</f>
        <v>1.7113138363595901</v>
      </c>
      <c r="D2153" s="273">
        <f>SUMPRODUCT($K$2143:$M$2143,$B2006:$D2006)</f>
        <v>1.7113138363595901</v>
      </c>
      <c r="E2153" s="273">
        <f>SUMPRODUCT($O$2143:$Q$2143,$B2006:$D2006)</f>
        <v>1.3080475805280469</v>
      </c>
      <c r="F2153" s="273">
        <f>SUMPRODUCT($S$2143:$U$2143,$B2006:$D2006)</f>
        <v>1.3080475805280469</v>
      </c>
      <c r="G2153" s="273">
        <f>SUMPRODUCT($W$2143:$Y$2143,$B2006:$D2006)</f>
        <v>1.7113138363595901</v>
      </c>
      <c r="H2153" s="273">
        <f>SUMPRODUCT($AA$2143:$AC$2143,$B2006:$D2006)</f>
        <v>1.3080475805280469</v>
      </c>
      <c r="I2153" s="273">
        <f>SUMPRODUCT($AE$2143:$AG$2143,$B2006:$D2006)</f>
        <v>1.3080475805280469</v>
      </c>
      <c r="J2153" s="273">
        <f>SUMPRODUCT($AI$2143:$AK$2143,$B2006:$D2006)</f>
        <v>1.3080475805280469</v>
      </c>
      <c r="K2153" s="265"/>
    </row>
    <row r="2154" spans="1:11">
      <c r="A2154" s="285" t="s">
        <v>95</v>
      </c>
      <c r="B2154" s="273">
        <f>SUMPRODUCT($C$2143:$E$2143,$B2007:$D2007)</f>
        <v>3.2752507551673253</v>
      </c>
      <c r="C2154" s="273">
        <f>SUMPRODUCT($G$2143:$I$2143,$B2007:$D2007)</f>
        <v>2.984498213228858</v>
      </c>
      <c r="D2154" s="273">
        <f>SUMPRODUCT($K$2143:$M$2143,$B2007:$D2007)</f>
        <v>2.984498213228858</v>
      </c>
      <c r="E2154" s="273">
        <f>SUMPRODUCT($O$2143:$Q$2143,$B2007:$D2007)</f>
        <v>2.2102399476043471</v>
      </c>
      <c r="F2154" s="273">
        <f>SUMPRODUCT($S$2143:$U$2143,$B2007:$D2007)</f>
        <v>2.2102399476043471</v>
      </c>
      <c r="G2154" s="273">
        <f>SUMPRODUCT($W$2143:$Y$2143,$B2007:$D2007)</f>
        <v>2.984498213228858</v>
      </c>
      <c r="H2154" s="273">
        <f>SUMPRODUCT($AA$2143:$AC$2143,$B2007:$D2007)</f>
        <v>2.2102399476043471</v>
      </c>
      <c r="I2154" s="273">
        <f>SUMPRODUCT($AE$2143:$AG$2143,$B2007:$D2007)</f>
        <v>2.2102399476043471</v>
      </c>
      <c r="J2154" s="273">
        <f>SUMPRODUCT($AI$2143:$AK$2143,$B2007:$D2007)</f>
        <v>2.2102399476043471</v>
      </c>
      <c r="K2154" s="265"/>
    </row>
    <row r="2155" spans="1:11">
      <c r="A2155" s="285" t="s">
        <v>96</v>
      </c>
      <c r="B2155" s="273">
        <f>SUMPRODUCT($C$2143:$E$2143,$B2008:$D2008)</f>
        <v>0.26272754883514488</v>
      </c>
      <c r="C2155" s="273">
        <f>SUMPRODUCT($G$2143:$I$2143,$B2008:$D2008)</f>
        <v>0.36504915960379519</v>
      </c>
      <c r="D2155" s="273">
        <f>SUMPRODUCT($K$2143:$M$2143,$B2008:$D2008)</f>
        <v>0.36504915960379519</v>
      </c>
      <c r="E2155" s="273">
        <f>SUMPRODUCT($O$2143:$Q$2143,$B2008:$D2008)</f>
        <v>0.74818846464868105</v>
      </c>
      <c r="F2155" s="273">
        <f>SUMPRODUCT($S$2143:$U$2143,$B2008:$D2008)</f>
        <v>0.74818846464868105</v>
      </c>
      <c r="G2155" s="273">
        <f>SUMPRODUCT($W$2143:$Y$2143,$B2008:$D2008)</f>
        <v>0.36504915960379519</v>
      </c>
      <c r="H2155" s="273">
        <f>SUMPRODUCT($AA$2143:$AC$2143,$B2008:$D2008)</f>
        <v>0.74818846464868105</v>
      </c>
      <c r="I2155" s="273">
        <f>SUMPRODUCT($AE$2143:$AG$2143,$B2008:$D2008)</f>
        <v>0.74818846464868105</v>
      </c>
      <c r="J2155" s="273">
        <f>SUMPRODUCT($AI$2143:$AK$2143,$B2008:$D2008)</f>
        <v>0.74818846464868105</v>
      </c>
      <c r="K2155" s="265"/>
    </row>
    <row r="2156" spans="1:11">
      <c r="A2156" s="285" t="s">
        <v>97</v>
      </c>
      <c r="B2156" s="273">
        <f>SUMPRODUCT($C$2143:$E$2143,$B2009:$D2009)</f>
        <v>54.48291824451114</v>
      </c>
      <c r="C2156" s="273">
        <f>SUMPRODUCT($G$2143:$I$2143,$B2009:$D2009)</f>
        <v>47.647005601719641</v>
      </c>
      <c r="D2156" s="273">
        <f>SUMPRODUCT($K$2143:$M$2143,$B2009:$D2009)</f>
        <v>47.647005601719641</v>
      </c>
      <c r="E2156" s="273">
        <f>SUMPRODUCT($O$2143:$Q$2143,$B2009:$D2009)</f>
        <v>31.65770666017335</v>
      </c>
      <c r="F2156" s="273">
        <f>SUMPRODUCT($S$2143:$U$2143,$B2009:$D2009)</f>
        <v>31.65770666017335</v>
      </c>
      <c r="G2156" s="273">
        <f>SUMPRODUCT($W$2143:$Y$2143,$B2009:$D2009)</f>
        <v>47.647005601719641</v>
      </c>
      <c r="H2156" s="273">
        <f>SUMPRODUCT($AA$2143:$AC$2143,$B2009:$D2009)</f>
        <v>31.65770666017335</v>
      </c>
      <c r="I2156" s="273">
        <f>SUMPRODUCT($AE$2143:$AG$2143,$B2009:$D2009)</f>
        <v>31.65770666017335</v>
      </c>
      <c r="J2156" s="273">
        <f>SUMPRODUCT($AI$2143:$AK$2143,$B2009:$D2009)</f>
        <v>31.65770666017335</v>
      </c>
      <c r="K2156" s="265"/>
    </row>
    <row r="2158" spans="1:11" ht="21" customHeight="1">
      <c r="A2158" s="1" t="s">
        <v>1351</v>
      </c>
    </row>
    <row r="2159" spans="1:11">
      <c r="A2159" s="264" t="s">
        <v>217</v>
      </c>
    </row>
    <row r="2160" spans="1:11">
      <c r="A2160" s="269" t="s">
        <v>1349</v>
      </c>
    </row>
    <row r="2161" spans="1:11">
      <c r="A2161" s="269" t="s">
        <v>1352</v>
      </c>
    </row>
    <row r="2162" spans="1:11">
      <c r="A2162" s="264" t="s">
        <v>230</v>
      </c>
    </row>
    <row r="2164" spans="1:11">
      <c r="B2164" s="284" t="s">
        <v>22</v>
      </c>
      <c r="C2164" s="284" t="s">
        <v>23</v>
      </c>
      <c r="D2164" s="284" t="s">
        <v>24</v>
      </c>
      <c r="E2164" s="284" t="s">
        <v>25</v>
      </c>
      <c r="F2164" s="284" t="s">
        <v>26</v>
      </c>
      <c r="G2164" s="284" t="s">
        <v>31</v>
      </c>
      <c r="H2164" s="284" t="s">
        <v>27</v>
      </c>
      <c r="I2164" s="284" t="s">
        <v>28</v>
      </c>
      <c r="J2164" s="284" t="s">
        <v>29</v>
      </c>
    </row>
    <row r="2165" spans="1:11">
      <c r="A2165" s="285" t="s">
        <v>97</v>
      </c>
      <c r="B2165" s="273">
        <f>SUMPRODUCT($C$2143:$E$2143,$B2014:$D2014)</f>
        <v>0.1848026527627448</v>
      </c>
      <c r="C2165" s="273">
        <f>SUMPRODUCT($G$2143:$I$2143,$B2014:$D2014)</f>
        <v>0.30259639276562356</v>
      </c>
      <c r="D2165" s="273">
        <f>SUMPRODUCT($K$2143:$M$2143,$B2014:$D2014)</f>
        <v>0.30259639276562356</v>
      </c>
      <c r="E2165" s="273">
        <f>SUMPRODUCT($O$2143:$Q$2143,$B2014:$D2014)</f>
        <v>0.8890462191446602</v>
      </c>
      <c r="F2165" s="273">
        <f>SUMPRODUCT($S$2143:$U$2143,$B2014:$D2014)</f>
        <v>0.8890462191446602</v>
      </c>
      <c r="G2165" s="273">
        <f>SUMPRODUCT($W$2143:$Y$2143,$B2014:$D2014)</f>
        <v>0.30259639276562356</v>
      </c>
      <c r="H2165" s="273">
        <f>SUMPRODUCT($AA$2143:$AC$2143,$B2014:$D2014)</f>
        <v>0.8890462191446602</v>
      </c>
      <c r="I2165" s="273">
        <f>SUMPRODUCT($AE$2143:$AG$2143,$B2014:$D2014)</f>
        <v>0.8890462191446602</v>
      </c>
      <c r="J2165" s="273">
        <f>SUMPRODUCT($AI$2143:$AK$2143,$B2014:$D2014)</f>
        <v>0.8890462191446602</v>
      </c>
      <c r="K2165" s="265"/>
    </row>
    <row r="2167" spans="1:11" ht="21" customHeight="1">
      <c r="A2167" s="1" t="s">
        <v>1353</v>
      </c>
    </row>
    <row r="2168" spans="1:11">
      <c r="A2168" s="264" t="s">
        <v>217</v>
      </c>
    </row>
    <row r="2169" spans="1:11">
      <c r="A2169" s="269" t="s">
        <v>1349</v>
      </c>
    </row>
    <row r="2170" spans="1:11">
      <c r="A2170" s="269" t="s">
        <v>1354</v>
      </c>
    </row>
    <row r="2171" spans="1:11">
      <c r="A2171" s="264" t="s">
        <v>230</v>
      </c>
    </row>
    <row r="2173" spans="1:11">
      <c r="B2173" s="284" t="s">
        <v>22</v>
      </c>
      <c r="C2173" s="284" t="s">
        <v>23</v>
      </c>
      <c r="D2173" s="284" t="s">
        <v>24</v>
      </c>
      <c r="E2173" s="284" t="s">
        <v>25</v>
      </c>
      <c r="F2173" s="284" t="s">
        <v>26</v>
      </c>
      <c r="G2173" s="284" t="s">
        <v>31</v>
      </c>
      <c r="H2173" s="284" t="s">
        <v>27</v>
      </c>
      <c r="I2173" s="284" t="s">
        <v>28</v>
      </c>
      <c r="J2173" s="284" t="s">
        <v>29</v>
      </c>
    </row>
    <row r="2174" spans="1:11">
      <c r="A2174" s="285" t="s">
        <v>97</v>
      </c>
      <c r="B2174" s="273">
        <f>SUMPRODUCT($C$2143:$E$2143,$B2019:$D2019)</f>
        <v>0</v>
      </c>
      <c r="C2174" s="273">
        <f>SUMPRODUCT($G$2143:$I$2143,$B2019:$D2019)</f>
        <v>0.12302740870532504</v>
      </c>
      <c r="D2174" s="273">
        <f>SUMPRODUCT($K$2143:$M$2143,$B2019:$D2019)</f>
        <v>0.12302740870532504</v>
      </c>
      <c r="E2174" s="273">
        <f>SUMPRODUCT($O$2143:$Q$2143,$B2019:$D2019)</f>
        <v>0.16342244443861462</v>
      </c>
      <c r="F2174" s="273">
        <f>SUMPRODUCT($S$2143:$U$2143,$B2019:$D2019)</f>
        <v>0.16342244443861462</v>
      </c>
      <c r="G2174" s="273">
        <f>SUMPRODUCT($W$2143:$Y$2143,$B2019:$D2019)</f>
        <v>0.12302740870532504</v>
      </c>
      <c r="H2174" s="273">
        <f>SUMPRODUCT($AA$2143:$AC$2143,$B2019:$D2019)</f>
        <v>0.16342244443861462</v>
      </c>
      <c r="I2174" s="273">
        <f>SUMPRODUCT($AE$2143:$AG$2143,$B2019:$D2019)</f>
        <v>0.16342244443861462</v>
      </c>
      <c r="J2174" s="273">
        <f>SUMPRODUCT($AI$2143:$AK$2143,$B2019:$D2019)</f>
        <v>0.16342244443861462</v>
      </c>
      <c r="K2174" s="265"/>
    </row>
    <row r="2176" spans="1:11" ht="21" customHeight="1">
      <c r="A2176" s="1" t="s">
        <v>1355</v>
      </c>
    </row>
    <row r="2177" spans="1:11">
      <c r="A2177" s="264" t="s">
        <v>217</v>
      </c>
    </row>
    <row r="2178" spans="1:11">
      <c r="A2178" s="269" t="s">
        <v>1356</v>
      </c>
    </row>
    <row r="2179" spans="1:11">
      <c r="A2179" s="269" t="s">
        <v>1357</v>
      </c>
    </row>
    <row r="2180" spans="1:11">
      <c r="A2180" s="264" t="s">
        <v>235</v>
      </c>
    </row>
    <row r="2182" spans="1:11">
      <c r="B2182" s="284" t="s">
        <v>22</v>
      </c>
      <c r="C2182" s="284" t="s">
        <v>23</v>
      </c>
      <c r="D2182" s="284" t="s">
        <v>24</v>
      </c>
      <c r="E2182" s="284" t="s">
        <v>25</v>
      </c>
      <c r="F2182" s="284" t="s">
        <v>26</v>
      </c>
      <c r="G2182" s="284" t="s">
        <v>31</v>
      </c>
      <c r="H2182" s="284" t="s">
        <v>27</v>
      </c>
      <c r="I2182" s="284" t="s">
        <v>28</v>
      </c>
      <c r="J2182" s="284" t="s">
        <v>29</v>
      </c>
    </row>
    <row r="2183" spans="1:11">
      <c r="A2183" s="285" t="s">
        <v>54</v>
      </c>
      <c r="B2183" s="274">
        <f>$B$1906</f>
        <v>2.1919447459684394</v>
      </c>
      <c r="C2183" s="274">
        <f>$C$1906</f>
        <v>2.0857750461452156</v>
      </c>
      <c r="D2183" s="274">
        <f>$D$1906</f>
        <v>2.0857750461452156</v>
      </c>
      <c r="E2183" s="274">
        <f>$E$1906</f>
        <v>1.963174407705959</v>
      </c>
      <c r="F2183" s="274">
        <f>$F$1906</f>
        <v>1.963174407705959</v>
      </c>
      <c r="G2183" s="274">
        <f>$G$1906</f>
        <v>2.0857750461452156</v>
      </c>
      <c r="H2183" s="274">
        <f>$H$1906</f>
        <v>1.963174407705959</v>
      </c>
      <c r="I2183" s="274">
        <f>$I$1906</f>
        <v>1.963174407705959</v>
      </c>
      <c r="J2183" s="274">
        <f>$J$1906</f>
        <v>1.963174407705959</v>
      </c>
      <c r="K2183" s="265"/>
    </row>
    <row r="2184" spans="1:11">
      <c r="A2184" s="285" t="s">
        <v>55</v>
      </c>
      <c r="B2184" s="274">
        <f>$B$1907</f>
        <v>2.7782232494804173</v>
      </c>
      <c r="C2184" s="274">
        <f>$C$1907</f>
        <v>2.6010583941830308</v>
      </c>
      <c r="D2184" s="274">
        <f>$D$1907</f>
        <v>2.6010583941830308</v>
      </c>
      <c r="E2184" s="274">
        <f>$E$1907</f>
        <v>2.41606413620607</v>
      </c>
      <c r="F2184" s="274">
        <f>$F$1907</f>
        <v>2.41606413620607</v>
      </c>
      <c r="G2184" s="274">
        <f>$G$1907</f>
        <v>2.6010583941830308</v>
      </c>
      <c r="H2184" s="274">
        <f>$H$1907</f>
        <v>2.41606413620607</v>
      </c>
      <c r="I2184" s="274">
        <f>$I$1907</f>
        <v>2.41606413620607</v>
      </c>
      <c r="J2184" s="274">
        <f>$J$1907</f>
        <v>2.41606413620607</v>
      </c>
      <c r="K2184" s="265"/>
    </row>
    <row r="2185" spans="1:11">
      <c r="A2185" s="285" t="s">
        <v>91</v>
      </c>
      <c r="B2185" s="274">
        <f>$B$1908</f>
        <v>2.260055249434639E-2</v>
      </c>
      <c r="C2185" s="274">
        <f>$C$1908</f>
        <v>0.15073696293430072</v>
      </c>
      <c r="D2185" s="274">
        <f>$D$1908</f>
        <v>0.15073696293430072</v>
      </c>
      <c r="E2185" s="274">
        <f>$E$1908</f>
        <v>0.24115271585045833</v>
      </c>
      <c r="F2185" s="274">
        <f>$F$1908</f>
        <v>0.24115271585045833</v>
      </c>
      <c r="G2185" s="274">
        <f>$G$1908</f>
        <v>0.15073696293430072</v>
      </c>
      <c r="H2185" s="274">
        <f>$H$1908</f>
        <v>0.24115271585045833</v>
      </c>
      <c r="I2185" s="274">
        <f>$I$1908</f>
        <v>0.24115271585045833</v>
      </c>
      <c r="J2185" s="274">
        <f>$J$1908</f>
        <v>0.24115271585045833</v>
      </c>
      <c r="K2185" s="265"/>
    </row>
    <row r="2186" spans="1:11">
      <c r="A2186" s="285" t="s">
        <v>56</v>
      </c>
      <c r="B2186" s="274">
        <f>$B$1909</f>
        <v>1.6099793643063791</v>
      </c>
      <c r="C2186" s="274">
        <f>$C$1909</f>
        <v>1.626585355198618</v>
      </c>
      <c r="D2186" s="274">
        <f>$D$1909</f>
        <v>1.626585355198618</v>
      </c>
      <c r="E2186" s="274">
        <f>$E$1909</f>
        <v>1.7457888669083237</v>
      </c>
      <c r="F2186" s="274">
        <f>$F$1909</f>
        <v>1.7457888669083237</v>
      </c>
      <c r="G2186" s="274">
        <f>$G$1909</f>
        <v>1.626585355198618</v>
      </c>
      <c r="H2186" s="274">
        <f>$H$1909</f>
        <v>1.7457888669083237</v>
      </c>
      <c r="I2186" s="274">
        <f>$I$1909</f>
        <v>1.7457888669083237</v>
      </c>
      <c r="J2186" s="274">
        <f>$J$1909</f>
        <v>1.7457888669083237</v>
      </c>
      <c r="K2186" s="265"/>
    </row>
    <row r="2187" spans="1:11">
      <c r="A2187" s="285" t="s">
        <v>57</v>
      </c>
      <c r="B2187" s="274">
        <f>$B$1910</f>
        <v>1.9937242368592261</v>
      </c>
      <c r="C2187" s="274">
        <f>$C$1910</f>
        <v>1.9458401142876127</v>
      </c>
      <c r="D2187" s="274">
        <f>$D$1910</f>
        <v>1.9458401142876127</v>
      </c>
      <c r="E2187" s="274">
        <f>$E$1910</f>
        <v>1.9980163862024922</v>
      </c>
      <c r="F2187" s="274">
        <f>$F$1910</f>
        <v>1.9980163862024922</v>
      </c>
      <c r="G2187" s="274">
        <f>$G$1910</f>
        <v>1.9458401142876127</v>
      </c>
      <c r="H2187" s="274">
        <f>$H$1910</f>
        <v>1.9980163862024922</v>
      </c>
      <c r="I2187" s="274">
        <f>$I$1910</f>
        <v>1.9980163862024922</v>
      </c>
      <c r="J2187" s="274">
        <f>$J$1910</f>
        <v>1.9980163862024922</v>
      </c>
      <c r="K2187" s="265"/>
    </row>
    <row r="2188" spans="1:11">
      <c r="A2188" s="285" t="s">
        <v>92</v>
      </c>
      <c r="B2188" s="274">
        <f>$B$1911</f>
        <v>3.5133875508179667E-2</v>
      </c>
      <c r="C2188" s="274">
        <f>$C$1911</f>
        <v>0.16119392524860204</v>
      </c>
      <c r="D2188" s="274">
        <f>$D$1911</f>
        <v>0.16119392524860204</v>
      </c>
      <c r="E2188" s="274">
        <f>$E$1911</f>
        <v>0.25266153015946102</v>
      </c>
      <c r="F2188" s="274">
        <f>$F$1911</f>
        <v>0.25266153015946102</v>
      </c>
      <c r="G2188" s="274">
        <f>$G$1911</f>
        <v>0.16119392524860204</v>
      </c>
      <c r="H2188" s="274">
        <f>$H$1911</f>
        <v>0.25266153015946102</v>
      </c>
      <c r="I2188" s="274">
        <f>$I$1911</f>
        <v>0.25266153015946102</v>
      </c>
      <c r="J2188" s="274">
        <f>$J$1911</f>
        <v>0.25266153015946102</v>
      </c>
      <c r="K2188" s="265"/>
    </row>
    <row r="2189" spans="1:11">
      <c r="A2189" s="285" t="s">
        <v>58</v>
      </c>
      <c r="B2189" s="274">
        <f>$B$1912</f>
        <v>1.8049233242510712</v>
      </c>
      <c r="C2189" s="274">
        <f>$C$1912</f>
        <v>1.7542649699072816</v>
      </c>
      <c r="D2189" s="274">
        <f>$D$1912</f>
        <v>1.7542649699072816</v>
      </c>
      <c r="E2189" s="274">
        <f>$E$1912</f>
        <v>1.7834285178922733</v>
      </c>
      <c r="F2189" s="274">
        <f>$F$1912</f>
        <v>1.7834285178922733</v>
      </c>
      <c r="G2189" s="274">
        <f>$G$1912</f>
        <v>1.7542649699072816</v>
      </c>
      <c r="H2189" s="274">
        <f>$H$1912</f>
        <v>1.7834285178922733</v>
      </c>
      <c r="I2189" s="274">
        <f>$I$1912</f>
        <v>1.7834285178922733</v>
      </c>
      <c r="J2189" s="274">
        <f>$J$1912</f>
        <v>1.7834285178922733</v>
      </c>
      <c r="K2189" s="265"/>
    </row>
    <row r="2190" spans="1:11">
      <c r="A2190" s="285" t="s">
        <v>59</v>
      </c>
      <c r="B2190" s="274">
        <f>$B$1913</f>
        <v>1.7865264128345684</v>
      </c>
      <c r="C2190" s="274">
        <f>$C$1913</f>
        <v>1.7393104970246005</v>
      </c>
      <c r="D2190" s="274">
        <f>$D$1913</f>
        <v>1.7393104970246005</v>
      </c>
      <c r="E2190" s="274">
        <f>$E$1913</f>
        <v>1.7730944220188876</v>
      </c>
      <c r="F2190" s="274">
        <f>$F$1913</f>
        <v>1.7730944220188876</v>
      </c>
      <c r="G2190" s="274">
        <f>$G$1913</f>
        <v>1.7393104970246005</v>
      </c>
      <c r="H2190" s="274">
        <f>$H$1913</f>
        <v>1.7730944220188876</v>
      </c>
      <c r="I2190" s="274">
        <f>$I$1913</f>
        <v>1.7730944220188876</v>
      </c>
      <c r="J2190" s="274">
        <f>$J$1913</f>
        <v>1.7730944220188876</v>
      </c>
      <c r="K2190" s="265"/>
    </row>
    <row r="2191" spans="1:11">
      <c r="A2191" s="285" t="s">
        <v>72</v>
      </c>
      <c r="B2191" s="274">
        <f>$B$1914</f>
        <v>1.8714586104332458</v>
      </c>
      <c r="C2191" s="274">
        <f>$C$1914</f>
        <v>1.8243022719790916</v>
      </c>
      <c r="D2191" s="274">
        <f>$D$1914</f>
        <v>1.8243022719790916</v>
      </c>
      <c r="E2191" s="274">
        <f>$E$1914</f>
        <v>1.8729560549185422</v>
      </c>
      <c r="F2191" s="274">
        <f>$F$1914</f>
        <v>1.8729560549185422</v>
      </c>
      <c r="G2191" s="274">
        <f>$G$1914</f>
        <v>1.8243022719790916</v>
      </c>
      <c r="H2191" s="274">
        <f>$H$1914</f>
        <v>1.8729560549185422</v>
      </c>
      <c r="I2191" s="274">
        <f>$I$1914</f>
        <v>1.8729560549185422</v>
      </c>
      <c r="J2191" s="274">
        <f>$J$1914</f>
        <v>1.8729560549185422</v>
      </c>
      <c r="K2191" s="265"/>
    </row>
    <row r="2192" spans="1:11">
      <c r="A2192" s="285" t="s">
        <v>1178</v>
      </c>
      <c r="B2192" s="274">
        <f>$B$1915</f>
        <v>24.865437920984643</v>
      </c>
      <c r="C2192" s="274">
        <f>$C$1915</f>
        <v>20.993602005020652</v>
      </c>
      <c r="D2192" s="274">
        <f>$D$1915</f>
        <v>20.993602005020652</v>
      </c>
      <c r="E2192" s="274">
        <f>$E$1915</f>
        <v>14.985712266893355</v>
      </c>
      <c r="F2192" s="274">
        <f>$F$1915</f>
        <v>14.985712266893355</v>
      </c>
      <c r="G2192" s="274">
        <f>$G$1915</f>
        <v>20.993602005020652</v>
      </c>
      <c r="H2192" s="274">
        <f>$H$1915</f>
        <v>14.985712266893355</v>
      </c>
      <c r="I2192" s="274">
        <f>$I$1915</f>
        <v>14.985712266893355</v>
      </c>
      <c r="J2192" s="274">
        <f>$J$1915</f>
        <v>14.985712266893355</v>
      </c>
      <c r="K2192" s="265"/>
    </row>
    <row r="2193" spans="1:11">
      <c r="A2193" s="285" t="s">
        <v>1177</v>
      </c>
      <c r="B2193" s="274">
        <f>$B$1916</f>
        <v>25.361849273976436</v>
      </c>
      <c r="C2193" s="274">
        <f>$C$1916</f>
        <v>21.405074627065989</v>
      </c>
      <c r="D2193" s="274">
        <f>$D$1916</f>
        <v>21.405074627065989</v>
      </c>
      <c r="E2193" s="274">
        <f>$E$1916</f>
        <v>15.284694605273966</v>
      </c>
      <c r="F2193" s="274">
        <f>$F$1916</f>
        <v>15.284694605273966</v>
      </c>
      <c r="G2193" s="274">
        <f>$G$1916</f>
        <v>21.405074627065989</v>
      </c>
      <c r="H2193" s="274">
        <f>$H$1916</f>
        <v>15.284694605273966</v>
      </c>
      <c r="I2193" s="274">
        <f>$I$1916</f>
        <v>15.284694605273966</v>
      </c>
      <c r="J2193" s="274">
        <f>$J$1916</f>
        <v>15.284694605273966</v>
      </c>
      <c r="K2193" s="265"/>
    </row>
    <row r="2194" spans="1:11">
      <c r="A2194" s="285" t="s">
        <v>60</v>
      </c>
      <c r="B2194" s="274">
        <f>$B$1917</f>
        <v>20.014136550733021</v>
      </c>
      <c r="C2194" s="274">
        <f>$C$1917</f>
        <v>16.89632146526095</v>
      </c>
      <c r="D2194" s="274">
        <f>$D$1917</f>
        <v>16.89632146526095</v>
      </c>
      <c r="E2194" s="274">
        <f>$E$1917</f>
        <v>12.061834227947216</v>
      </c>
      <c r="F2194" s="274">
        <f>$F$1917</f>
        <v>12.061834227947216</v>
      </c>
      <c r="G2194" s="274">
        <f>$G$1917</f>
        <v>16.89632146526095</v>
      </c>
      <c r="H2194" s="274">
        <f>$H$1917</f>
        <v>12.061834227947216</v>
      </c>
      <c r="I2194" s="274">
        <f>$I$1917</f>
        <v>12.061834227947216</v>
      </c>
      <c r="J2194" s="274">
        <f>$J$1917</f>
        <v>12.061834227947216</v>
      </c>
      <c r="K2194" s="265"/>
    </row>
    <row r="2195" spans="1:11">
      <c r="A2195" s="285" t="s">
        <v>61</v>
      </c>
      <c r="B2195" s="274">
        <f>$B$1918</f>
        <v>19.088664804564541</v>
      </c>
      <c r="C2195" s="274">
        <f>$C$1918</f>
        <v>16.11502030392225</v>
      </c>
      <c r="D2195" s="274">
        <f>$D$1918</f>
        <v>16.11502030392225</v>
      </c>
      <c r="E2195" s="274">
        <f>$E$1918</f>
        <v>11.504084121834133</v>
      </c>
      <c r="F2195" s="274">
        <f>$F$1918</f>
        <v>11.504084121834133</v>
      </c>
      <c r="G2195" s="274">
        <f>$G$1918</f>
        <v>16.11502030392225</v>
      </c>
      <c r="H2195" s="274">
        <f>$H$1918</f>
        <v>11.504084121834133</v>
      </c>
      <c r="I2195" s="274">
        <f>$I$1918</f>
        <v>11.504084121834133</v>
      </c>
      <c r="J2195" s="274">
        <f>$J$1918</f>
        <v>11.504084121834133</v>
      </c>
      <c r="K2195" s="265"/>
    </row>
    <row r="2196" spans="1:11">
      <c r="A2196" s="285" t="s">
        <v>73</v>
      </c>
      <c r="B2196" s="274">
        <f>$B$1919</f>
        <v>17.53867433216071</v>
      </c>
      <c r="C2196" s="274">
        <f>$C$1919</f>
        <v>14.806488345851461</v>
      </c>
      <c r="D2196" s="274">
        <f>$D$1919</f>
        <v>14.806488345851461</v>
      </c>
      <c r="E2196" s="274">
        <f>$E$1919</f>
        <v>10.569957981261366</v>
      </c>
      <c r="F2196" s="274">
        <f>$F$1919</f>
        <v>10.569957981261366</v>
      </c>
      <c r="G2196" s="274">
        <f>$G$1919</f>
        <v>14.806488345851461</v>
      </c>
      <c r="H2196" s="274">
        <f>$H$1919</f>
        <v>10.569957981261366</v>
      </c>
      <c r="I2196" s="274">
        <f>$I$1919</f>
        <v>10.569957981261366</v>
      </c>
      <c r="J2196" s="274">
        <f>$J$1919</f>
        <v>10.569957981261366</v>
      </c>
      <c r="K2196" s="265"/>
    </row>
    <row r="2197" spans="1:11">
      <c r="A2197" s="285" t="s">
        <v>93</v>
      </c>
      <c r="B2197" s="274">
        <f>$B$2152</f>
        <v>1.0249904973307935</v>
      </c>
      <c r="C2197" s="274">
        <f>$C$2152</f>
        <v>1.0250997636653068</v>
      </c>
      <c r="D2197" s="274">
        <f>$D$2152</f>
        <v>1.0250997636653068</v>
      </c>
      <c r="E2197" s="274">
        <f>$E$2152</f>
        <v>1.0254266552836522</v>
      </c>
      <c r="F2197" s="274">
        <f>$F$2152</f>
        <v>1.0254266552836522</v>
      </c>
      <c r="G2197" s="274">
        <f>$G$2152</f>
        <v>1.0250997636653068</v>
      </c>
      <c r="H2197" s="274">
        <f>$H$2152</f>
        <v>1.0254266552836522</v>
      </c>
      <c r="I2197" s="274">
        <f>$I$2152</f>
        <v>1.0254266552836522</v>
      </c>
      <c r="J2197" s="274">
        <f>$J$2152</f>
        <v>1.0254266552836522</v>
      </c>
      <c r="K2197" s="265"/>
    </row>
    <row r="2198" spans="1:11">
      <c r="A2198" s="285" t="s">
        <v>94</v>
      </c>
      <c r="B2198" s="274">
        <f>$B$2153</f>
        <v>1.817663115434575</v>
      </c>
      <c r="C2198" s="274">
        <f>$C$2153</f>
        <v>1.7113138363595901</v>
      </c>
      <c r="D2198" s="274">
        <f>$D$2153</f>
        <v>1.7113138363595901</v>
      </c>
      <c r="E2198" s="274">
        <f>$E$2153</f>
        <v>1.3080475805280469</v>
      </c>
      <c r="F2198" s="274">
        <f>$F$2153</f>
        <v>1.3080475805280469</v>
      </c>
      <c r="G2198" s="274">
        <f>$G$2153</f>
        <v>1.7113138363595901</v>
      </c>
      <c r="H2198" s="274">
        <f>$H$2153</f>
        <v>1.3080475805280469</v>
      </c>
      <c r="I2198" s="274">
        <f>$I$2153</f>
        <v>1.3080475805280469</v>
      </c>
      <c r="J2198" s="274">
        <f>$J$2153</f>
        <v>1.3080475805280469</v>
      </c>
      <c r="K2198" s="265"/>
    </row>
    <row r="2199" spans="1:11">
      <c r="A2199" s="285" t="s">
        <v>95</v>
      </c>
      <c r="B2199" s="274">
        <f>$B$2154</f>
        <v>3.2752507551673253</v>
      </c>
      <c r="C2199" s="274">
        <f>$C$2154</f>
        <v>2.984498213228858</v>
      </c>
      <c r="D2199" s="274">
        <f>$D$2154</f>
        <v>2.984498213228858</v>
      </c>
      <c r="E2199" s="274">
        <f>$E$2154</f>
        <v>2.2102399476043471</v>
      </c>
      <c r="F2199" s="274">
        <f>$F$2154</f>
        <v>2.2102399476043471</v>
      </c>
      <c r="G2199" s="274">
        <f>$G$2154</f>
        <v>2.984498213228858</v>
      </c>
      <c r="H2199" s="274">
        <f>$H$2154</f>
        <v>2.2102399476043471</v>
      </c>
      <c r="I2199" s="274">
        <f>$I$2154</f>
        <v>2.2102399476043471</v>
      </c>
      <c r="J2199" s="274">
        <f>$J$2154</f>
        <v>2.2102399476043471</v>
      </c>
      <c r="K2199" s="265"/>
    </row>
    <row r="2200" spans="1:11">
      <c r="A2200" s="285" t="s">
        <v>96</v>
      </c>
      <c r="B2200" s="274">
        <f>$B$2155</f>
        <v>0.26272754883514488</v>
      </c>
      <c r="C2200" s="274">
        <f>$C$2155</f>
        <v>0.36504915960379519</v>
      </c>
      <c r="D2200" s="274">
        <f>$D$2155</f>
        <v>0.36504915960379519</v>
      </c>
      <c r="E2200" s="274">
        <f>$E$2155</f>
        <v>0.74818846464868105</v>
      </c>
      <c r="F2200" s="274">
        <f>$F$2155</f>
        <v>0.74818846464868105</v>
      </c>
      <c r="G2200" s="274">
        <f>$G$2155</f>
        <v>0.36504915960379519</v>
      </c>
      <c r="H2200" s="274">
        <f>$H$2155</f>
        <v>0.74818846464868105</v>
      </c>
      <c r="I2200" s="274">
        <f>$I$2155</f>
        <v>0.74818846464868105</v>
      </c>
      <c r="J2200" s="274">
        <f>$J$2155</f>
        <v>0.74818846464868105</v>
      </c>
      <c r="K2200" s="265"/>
    </row>
    <row r="2201" spans="1:11">
      <c r="A2201" s="285" t="s">
        <v>97</v>
      </c>
      <c r="B2201" s="274">
        <f>$B$2156</f>
        <v>54.48291824451114</v>
      </c>
      <c r="C2201" s="274">
        <f>$C$2156</f>
        <v>47.647005601719641</v>
      </c>
      <c r="D2201" s="274">
        <f>$D$2156</f>
        <v>47.647005601719641</v>
      </c>
      <c r="E2201" s="274">
        <f>$E$2156</f>
        <v>31.65770666017335</v>
      </c>
      <c r="F2201" s="274">
        <f>$F$2156</f>
        <v>31.65770666017335</v>
      </c>
      <c r="G2201" s="274">
        <f>$G$2156</f>
        <v>47.647005601719641</v>
      </c>
      <c r="H2201" s="274">
        <f>$H$2156</f>
        <v>31.65770666017335</v>
      </c>
      <c r="I2201" s="274">
        <f>$I$2156</f>
        <v>31.65770666017335</v>
      </c>
      <c r="J2201" s="274">
        <f>$J$2156</f>
        <v>31.65770666017335</v>
      </c>
      <c r="K2201" s="265"/>
    </row>
    <row r="2202" spans="1:11">
      <c r="A2202" s="285" t="s">
        <v>64</v>
      </c>
      <c r="B2202" s="274">
        <f>$B$1920</f>
        <v>-16.7816091954023</v>
      </c>
      <c r="C2202" s="274">
        <f>$C$1920</f>
        <v>-14.167359303817252</v>
      </c>
      <c r="D2202" s="274">
        <f>$D$1920</f>
        <v>-14.167359303817252</v>
      </c>
      <c r="E2202" s="274">
        <f>$E$1920</f>
        <v>-10.113700767456972</v>
      </c>
      <c r="F2202" s="274">
        <f>$F$1920</f>
        <v>-10.113700767456972</v>
      </c>
      <c r="G2202" s="274">
        <f>$G$1920</f>
        <v>-14.167359303817252</v>
      </c>
      <c r="H2202" s="274">
        <f>$H$1920</f>
        <v>-10.113700767456972</v>
      </c>
      <c r="I2202" s="274">
        <f>$I$1920</f>
        <v>-10.113700767456972</v>
      </c>
      <c r="J2202" s="274">
        <f>$J$1920</f>
        <v>-10.113700767456972</v>
      </c>
      <c r="K2202" s="265"/>
    </row>
    <row r="2203" spans="1:11">
      <c r="A2203" s="285" t="s">
        <v>1517</v>
      </c>
      <c r="B2203" s="274">
        <f>$B$1921</f>
        <v>-16.7816091954023</v>
      </c>
      <c r="C2203" s="274">
        <f>$C$1921</f>
        <v>-14.167359303817252</v>
      </c>
      <c r="D2203" s="274">
        <f>$D$1921</f>
        <v>-14.167359303817252</v>
      </c>
      <c r="E2203" s="274">
        <f>$E$1921</f>
        <v>-10.113700767456972</v>
      </c>
      <c r="F2203" s="274">
        <f>$F$1921</f>
        <v>-10.113700767456972</v>
      </c>
      <c r="G2203" s="274">
        <f>$G$1921</f>
        <v>-14.167359303817252</v>
      </c>
      <c r="H2203" s="274">
        <f>$H$1921</f>
        <v>-10.113700767456972</v>
      </c>
      <c r="I2203" s="274">
        <f>$I$1921</f>
        <v>-10.113700767456972</v>
      </c>
      <c r="J2203" s="274">
        <f>$J$1921</f>
        <v>-10.113700767456972</v>
      </c>
      <c r="K2203" s="265"/>
    </row>
    <row r="2204" spans="1:11">
      <c r="A2204" s="285" t="s">
        <v>66</v>
      </c>
      <c r="B2204" s="274">
        <f>$B$1922</f>
        <v>-16.7816091954023</v>
      </c>
      <c r="C2204" s="274">
        <f>$C$1922</f>
        <v>-14.167359303817252</v>
      </c>
      <c r="D2204" s="274">
        <f>$D$1922</f>
        <v>-14.167359303817252</v>
      </c>
      <c r="E2204" s="274">
        <f>$E$1922</f>
        <v>-10.113700767456972</v>
      </c>
      <c r="F2204" s="274">
        <f>$F$1922</f>
        <v>-10.113700767456972</v>
      </c>
      <c r="G2204" s="274">
        <f>$G$1922</f>
        <v>-14.167359303817252</v>
      </c>
      <c r="H2204" s="274">
        <f>$H$1922</f>
        <v>-10.113700767456972</v>
      </c>
      <c r="I2204" s="274">
        <f>$I$1922</f>
        <v>-10.113700767456972</v>
      </c>
      <c r="J2204" s="274">
        <f>$J$1922</f>
        <v>-10.113700767456972</v>
      </c>
      <c r="K2204" s="265"/>
    </row>
    <row r="2205" spans="1:11">
      <c r="A2205" s="285" t="s">
        <v>1519</v>
      </c>
      <c r="B2205" s="274">
        <f>$B$1923</f>
        <v>-16.7816091954023</v>
      </c>
      <c r="C2205" s="274">
        <f>$C$1923</f>
        <v>-14.167359303817252</v>
      </c>
      <c r="D2205" s="274">
        <f>$D$1923</f>
        <v>-14.167359303817252</v>
      </c>
      <c r="E2205" s="274">
        <f>$E$1923</f>
        <v>-10.113700767456972</v>
      </c>
      <c r="F2205" s="274">
        <f>$F$1923</f>
        <v>-10.113700767456972</v>
      </c>
      <c r="G2205" s="274">
        <f>$G$1923</f>
        <v>-14.167359303817252</v>
      </c>
      <c r="H2205" s="274">
        <f>$H$1923</f>
        <v>-10.113700767456972</v>
      </c>
      <c r="I2205" s="274">
        <f>$I$1923</f>
        <v>-10.113700767456972</v>
      </c>
      <c r="J2205" s="274">
        <f>$J$1923</f>
        <v>-10.113700767456972</v>
      </c>
      <c r="K2205" s="265"/>
    </row>
    <row r="2206" spans="1:11">
      <c r="A2206" s="285" t="s">
        <v>75</v>
      </c>
      <c r="B2206" s="274">
        <f>$B$1924</f>
        <v>-16.7816091954023</v>
      </c>
      <c r="C2206" s="274">
        <f>$C$1924</f>
        <v>-14.167359303817252</v>
      </c>
      <c r="D2206" s="274">
        <f>$D$1924</f>
        <v>-14.167359303817252</v>
      </c>
      <c r="E2206" s="274">
        <f>$E$1924</f>
        <v>-10.113700767456972</v>
      </c>
      <c r="F2206" s="274">
        <f>$F$1924</f>
        <v>-10.113700767456972</v>
      </c>
      <c r="G2206" s="274">
        <f>$G$1924</f>
        <v>-14.167359303817252</v>
      </c>
      <c r="H2206" s="274">
        <f>$H$1924</f>
        <v>-10.113700767456972</v>
      </c>
      <c r="I2206" s="274">
        <f>$I$1924</f>
        <v>-10.113700767456972</v>
      </c>
      <c r="J2206" s="274">
        <f>$J$1924</f>
        <v>-10.113700767456972</v>
      </c>
      <c r="K2206" s="265"/>
    </row>
    <row r="2207" spans="1:11">
      <c r="A2207" s="285" t="s">
        <v>1521</v>
      </c>
      <c r="B2207" s="274">
        <f>$B$1925</f>
        <v>-16.7816091954023</v>
      </c>
      <c r="C2207" s="274">
        <f>$C$1925</f>
        <v>-14.167359303817252</v>
      </c>
      <c r="D2207" s="274">
        <f>$D$1925</f>
        <v>-14.167359303817252</v>
      </c>
      <c r="E2207" s="274">
        <f>$E$1925</f>
        <v>-10.113700767456972</v>
      </c>
      <c r="F2207" s="274">
        <f>$F$1925</f>
        <v>-10.113700767456972</v>
      </c>
      <c r="G2207" s="274">
        <f>$G$1925</f>
        <v>-14.167359303817252</v>
      </c>
      <c r="H2207" s="274">
        <f>$H$1925</f>
        <v>-10.113700767456972</v>
      </c>
      <c r="I2207" s="274">
        <f>$I$1925</f>
        <v>-10.113700767456972</v>
      </c>
      <c r="J2207" s="274">
        <f>$J$1925</f>
        <v>-10.113700767456972</v>
      </c>
      <c r="K2207" s="265"/>
    </row>
    <row r="2209" spans="1:11" ht="21" customHeight="1">
      <c r="A2209" s="1" t="s">
        <v>1358</v>
      </c>
    </row>
    <row r="2210" spans="1:11">
      <c r="A2210" s="264" t="s">
        <v>217</v>
      </c>
    </row>
    <row r="2211" spans="1:11">
      <c r="A2211" s="269" t="s">
        <v>1359</v>
      </c>
    </row>
    <row r="2212" spans="1:11">
      <c r="A2212" s="269" t="s">
        <v>1360</v>
      </c>
    </row>
    <row r="2213" spans="1:11">
      <c r="A2213" s="264" t="s">
        <v>235</v>
      </c>
    </row>
    <row r="2215" spans="1:11">
      <c r="B2215" s="284" t="s">
        <v>22</v>
      </c>
      <c r="C2215" s="284" t="s">
        <v>23</v>
      </c>
      <c r="D2215" s="284" t="s">
        <v>24</v>
      </c>
      <c r="E2215" s="284" t="s">
        <v>25</v>
      </c>
      <c r="F2215" s="284" t="s">
        <v>26</v>
      </c>
      <c r="G2215" s="284" t="s">
        <v>31</v>
      </c>
      <c r="H2215" s="284" t="s">
        <v>27</v>
      </c>
      <c r="I2215" s="284" t="s">
        <v>28</v>
      </c>
      <c r="J2215" s="284" t="s">
        <v>29</v>
      </c>
    </row>
    <row r="2216" spans="1:11">
      <c r="A2216" s="285" t="s">
        <v>55</v>
      </c>
      <c r="B2216" s="274">
        <f>$B$1934</f>
        <v>0</v>
      </c>
      <c r="C2216" s="274">
        <f>$C$1934</f>
        <v>0.18820004311121696</v>
      </c>
      <c r="D2216" s="274">
        <f>$D$1934</f>
        <v>0.18820004311121696</v>
      </c>
      <c r="E2216" s="274">
        <f>$E$1934</f>
        <v>0.26563998545292666</v>
      </c>
      <c r="F2216" s="274">
        <f>$F$1934</f>
        <v>0.26563998545292666</v>
      </c>
      <c r="G2216" s="274">
        <f>$G$1934</f>
        <v>0.18820004311121696</v>
      </c>
      <c r="H2216" s="274">
        <f>$H$1934</f>
        <v>0.26563998545292666</v>
      </c>
      <c r="I2216" s="274">
        <f>$I$1934</f>
        <v>0.26563998545292666</v>
      </c>
      <c r="J2216" s="274">
        <f>$J$1934</f>
        <v>0.26563998545292666</v>
      </c>
      <c r="K2216" s="265"/>
    </row>
    <row r="2217" spans="1:11">
      <c r="A2217" s="285" t="s">
        <v>57</v>
      </c>
      <c r="B2217" s="274">
        <f>$B$1935</f>
        <v>0</v>
      </c>
      <c r="C2217" s="274">
        <f>$C$1935</f>
        <v>0.17983631267040143</v>
      </c>
      <c r="D2217" s="274">
        <f>$D$1935</f>
        <v>0.17983631267040143</v>
      </c>
      <c r="E2217" s="274">
        <f>$E$1935</f>
        <v>0.25770353357375919</v>
      </c>
      <c r="F2217" s="274">
        <f>$F$1935</f>
        <v>0.25770353357375919</v>
      </c>
      <c r="G2217" s="274">
        <f>$G$1935</f>
        <v>0.17983631267040143</v>
      </c>
      <c r="H2217" s="274">
        <f>$H$1935</f>
        <v>0.25770353357375919</v>
      </c>
      <c r="I2217" s="274">
        <f>$I$1935</f>
        <v>0.25770353357375919</v>
      </c>
      <c r="J2217" s="274">
        <f>$J$1935</f>
        <v>0.25770353357375919</v>
      </c>
      <c r="K2217" s="265"/>
    </row>
    <row r="2218" spans="1:11">
      <c r="A2218" s="285" t="s">
        <v>58</v>
      </c>
      <c r="B2218" s="274">
        <f>$B$1936</f>
        <v>0</v>
      </c>
      <c r="C2218" s="274">
        <f>$C$1936</f>
        <v>0.15546430604064271</v>
      </c>
      <c r="D2218" s="274">
        <f>$D$1936</f>
        <v>0.15546430604064271</v>
      </c>
      <c r="E2218" s="274">
        <f>$E$1936</f>
        <v>0.20650972968932438</v>
      </c>
      <c r="F2218" s="274">
        <f>$F$1936</f>
        <v>0.20650972968932438</v>
      </c>
      <c r="G2218" s="274">
        <f>$G$1936</f>
        <v>0.15546430604064271</v>
      </c>
      <c r="H2218" s="274">
        <f>$H$1936</f>
        <v>0.20650972968932438</v>
      </c>
      <c r="I2218" s="274">
        <f>$I$1936</f>
        <v>0.20650972968932438</v>
      </c>
      <c r="J2218" s="274">
        <f>$J$1936</f>
        <v>0.20650972968932438</v>
      </c>
      <c r="K2218" s="265"/>
    </row>
    <row r="2219" spans="1:11">
      <c r="A2219" s="285" t="s">
        <v>59</v>
      </c>
      <c r="B2219" s="274">
        <f>$B$1937</f>
        <v>0</v>
      </c>
      <c r="C2219" s="274">
        <f>$C$1937</f>
        <v>0.1559122720007389</v>
      </c>
      <c r="D2219" s="274">
        <f>$D$1937</f>
        <v>0.1559122720007389</v>
      </c>
      <c r="E2219" s="274">
        <f>$E$1937</f>
        <v>0.20710478158056236</v>
      </c>
      <c r="F2219" s="274">
        <f>$F$1937</f>
        <v>0.20710478158056236</v>
      </c>
      <c r="G2219" s="274">
        <f>$G$1937</f>
        <v>0.1559122720007389</v>
      </c>
      <c r="H2219" s="274">
        <f>$H$1937</f>
        <v>0.20710478158056236</v>
      </c>
      <c r="I2219" s="274">
        <f>$I$1937</f>
        <v>0.20710478158056236</v>
      </c>
      <c r="J2219" s="274">
        <f>$J$1937</f>
        <v>0.20710478158056236</v>
      </c>
      <c r="K2219" s="265"/>
    </row>
    <row r="2220" spans="1:11">
      <c r="A2220" s="285" t="s">
        <v>72</v>
      </c>
      <c r="B2220" s="274">
        <f>$B$1938</f>
        <v>0</v>
      </c>
      <c r="C2220" s="274">
        <f>$C$1938</f>
        <v>0.16280427399189901</v>
      </c>
      <c r="D2220" s="274">
        <f>$D$1938</f>
        <v>0.16280427399189901</v>
      </c>
      <c r="E2220" s="274">
        <f>$E$1938</f>
        <v>0.21625971562594173</v>
      </c>
      <c r="F2220" s="274">
        <f>$F$1938</f>
        <v>0.21625971562594173</v>
      </c>
      <c r="G2220" s="274">
        <f>$G$1938</f>
        <v>0.16280427399189901</v>
      </c>
      <c r="H2220" s="274">
        <f>$H$1938</f>
        <v>0.21625971562594173</v>
      </c>
      <c r="I2220" s="274">
        <f>$I$1938</f>
        <v>0.21625971562594173</v>
      </c>
      <c r="J2220" s="274">
        <f>$J$1938</f>
        <v>0.21625971562594173</v>
      </c>
      <c r="K2220" s="265"/>
    </row>
    <row r="2221" spans="1:11">
      <c r="A2221" s="285" t="s">
        <v>1178</v>
      </c>
      <c r="B2221" s="274">
        <f>$B$1939</f>
        <v>0</v>
      </c>
      <c r="C2221" s="274">
        <f>$C$1939</f>
        <v>0.3397767767328605</v>
      </c>
      <c r="D2221" s="274">
        <f>$D$1939</f>
        <v>0.3397767767328605</v>
      </c>
      <c r="E2221" s="274">
        <f>$E$1939</f>
        <v>1.1689120977893972</v>
      </c>
      <c r="F2221" s="274">
        <f>$F$1939</f>
        <v>1.1689120977893972</v>
      </c>
      <c r="G2221" s="274">
        <f>$G$1939</f>
        <v>0.3397767767328605</v>
      </c>
      <c r="H2221" s="274">
        <f>$H$1939</f>
        <v>1.1689120977893972</v>
      </c>
      <c r="I2221" s="274">
        <f>$I$1939</f>
        <v>1.1689120977893972</v>
      </c>
      <c r="J2221" s="274">
        <f>$J$1939</f>
        <v>1.1689120977893972</v>
      </c>
      <c r="K2221" s="265"/>
    </row>
    <row r="2222" spans="1:11">
      <c r="A2222" s="285" t="s">
        <v>1177</v>
      </c>
      <c r="B2222" s="274">
        <f>$B$1940</f>
        <v>0</v>
      </c>
      <c r="C2222" s="274">
        <f>$C$1940</f>
        <v>0.34643636955542373</v>
      </c>
      <c r="D2222" s="274">
        <f>$D$1940</f>
        <v>0.34643636955542373</v>
      </c>
      <c r="E2222" s="274">
        <f>$E$1940</f>
        <v>1.1922332497062502</v>
      </c>
      <c r="F2222" s="274">
        <f>$F$1940</f>
        <v>1.1922332497062502</v>
      </c>
      <c r="G2222" s="274">
        <f>$G$1940</f>
        <v>0.34643636955542373</v>
      </c>
      <c r="H2222" s="274">
        <f>$H$1940</f>
        <v>1.1922332497062502</v>
      </c>
      <c r="I2222" s="274">
        <f>$I$1940</f>
        <v>1.1922332497062502</v>
      </c>
      <c r="J2222" s="274">
        <f>$J$1940</f>
        <v>1.1922332497062502</v>
      </c>
      <c r="K2222" s="265"/>
    </row>
    <row r="2223" spans="1:11">
      <c r="A2223" s="285" t="s">
        <v>60</v>
      </c>
      <c r="B2223" s="274">
        <f>$B$1941</f>
        <v>0</v>
      </c>
      <c r="C2223" s="274">
        <f>$C$1941</f>
        <v>0.27346320296705845</v>
      </c>
      <c r="D2223" s="274">
        <f>$D$1941</f>
        <v>0.27346320296705845</v>
      </c>
      <c r="E2223" s="274">
        <f>$E$1941</f>
        <v>0.94084443231476822</v>
      </c>
      <c r="F2223" s="274">
        <f>$F$1941</f>
        <v>0.94084443231476822</v>
      </c>
      <c r="G2223" s="274">
        <f>$G$1941</f>
        <v>0.27346320296705845</v>
      </c>
      <c r="H2223" s="274">
        <f>$H$1941</f>
        <v>0.94084443231476822</v>
      </c>
      <c r="I2223" s="274">
        <f>$I$1941</f>
        <v>0.94084443231476822</v>
      </c>
      <c r="J2223" s="274">
        <f>$J$1941</f>
        <v>0.94084443231476822</v>
      </c>
      <c r="K2223" s="265"/>
    </row>
    <row r="2224" spans="1:11">
      <c r="A2224" s="285" t="s">
        <v>61</v>
      </c>
      <c r="B2224" s="274">
        <f>$B$1942</f>
        <v>0</v>
      </c>
      <c r="C2224" s="274">
        <f>$C$1942</f>
        <v>0.26081801753419093</v>
      </c>
      <c r="D2224" s="274">
        <f>$D$1942</f>
        <v>0.26081801753419093</v>
      </c>
      <c r="E2224" s="274">
        <f>$E$1942</f>
        <v>0.89733893621504512</v>
      </c>
      <c r="F2224" s="274">
        <f>$F$1942</f>
        <v>0.89733893621504512</v>
      </c>
      <c r="G2224" s="274">
        <f>$G$1942</f>
        <v>0.26081801753419093</v>
      </c>
      <c r="H2224" s="274">
        <f>$H$1942</f>
        <v>0.89733893621504512</v>
      </c>
      <c r="I2224" s="274">
        <f>$I$1942</f>
        <v>0.89733893621504512</v>
      </c>
      <c r="J2224" s="274">
        <f>$J$1942</f>
        <v>0.89733893621504512</v>
      </c>
      <c r="K2224" s="265"/>
    </row>
    <row r="2225" spans="1:11">
      <c r="A2225" s="285" t="s">
        <v>73</v>
      </c>
      <c r="B2225" s="274">
        <f>$B$1943</f>
        <v>0</v>
      </c>
      <c r="C2225" s="274">
        <f>$C$1943</f>
        <v>0.23963971898118888</v>
      </c>
      <c r="D2225" s="274">
        <f>$D$1943</f>
        <v>0.23963971898118888</v>
      </c>
      <c r="E2225" s="274">
        <f>$E$1943</f>
        <v>0.82447544283347973</v>
      </c>
      <c r="F2225" s="274">
        <f>$F$1943</f>
        <v>0.82447544283347973</v>
      </c>
      <c r="G2225" s="274">
        <f>$G$1943</f>
        <v>0.23963971898118888</v>
      </c>
      <c r="H2225" s="274">
        <f>$H$1943</f>
        <v>0.82447544283347973</v>
      </c>
      <c r="I2225" s="274">
        <f>$I$1943</f>
        <v>0.82447544283347973</v>
      </c>
      <c r="J2225" s="274">
        <f>$J$1943</f>
        <v>0.82447544283347973</v>
      </c>
      <c r="K2225" s="265"/>
    </row>
    <row r="2226" spans="1:11">
      <c r="A2226" s="285" t="s">
        <v>97</v>
      </c>
      <c r="B2226" s="274">
        <f>$B$2165</f>
        <v>0.1848026527627448</v>
      </c>
      <c r="C2226" s="274">
        <f>$C$2165</f>
        <v>0.30259639276562356</v>
      </c>
      <c r="D2226" s="274">
        <f>$D$2165</f>
        <v>0.30259639276562356</v>
      </c>
      <c r="E2226" s="274">
        <f>$E$2165</f>
        <v>0.8890462191446602</v>
      </c>
      <c r="F2226" s="274">
        <f>$F$2165</f>
        <v>0.8890462191446602</v>
      </c>
      <c r="G2226" s="274">
        <f>$G$2165</f>
        <v>0.30259639276562356</v>
      </c>
      <c r="H2226" s="274">
        <f>$H$2165</f>
        <v>0.8890462191446602</v>
      </c>
      <c r="I2226" s="274">
        <f>$I$2165</f>
        <v>0.8890462191446602</v>
      </c>
      <c r="J2226" s="274">
        <f>$J$2165</f>
        <v>0.8890462191446602</v>
      </c>
      <c r="K2226" s="265"/>
    </row>
    <row r="2227" spans="1:11">
      <c r="A2227" s="285" t="s">
        <v>64</v>
      </c>
      <c r="B2227" s="274">
        <f>$B$1944</f>
        <v>0</v>
      </c>
      <c r="C2227" s="274">
        <f>$C$1944</f>
        <v>-0.22929555766162066</v>
      </c>
      <c r="D2227" s="274">
        <f>$D$1944</f>
        <v>-0.22929555766162066</v>
      </c>
      <c r="E2227" s="274">
        <f>$E$1944</f>
        <v>-0.78888657208638369</v>
      </c>
      <c r="F2227" s="274">
        <f>$F$1944</f>
        <v>-0.78888657208638369</v>
      </c>
      <c r="G2227" s="274">
        <f>$G$1944</f>
        <v>-0.22929555766162066</v>
      </c>
      <c r="H2227" s="274">
        <f>$H$1944</f>
        <v>-0.78888657208638369</v>
      </c>
      <c r="I2227" s="274">
        <f>$I$1944</f>
        <v>-0.78888657208638369</v>
      </c>
      <c r="J2227" s="274">
        <f>$J$1944</f>
        <v>-0.78888657208638369</v>
      </c>
      <c r="K2227" s="265"/>
    </row>
    <row r="2228" spans="1:11">
      <c r="A2228" s="285" t="s">
        <v>1517</v>
      </c>
      <c r="B2228" s="274">
        <f>$B$1945</f>
        <v>0</v>
      </c>
      <c r="C2228" s="274">
        <f>$C$1945</f>
        <v>-0.22929555766162066</v>
      </c>
      <c r="D2228" s="274">
        <f>$D$1945</f>
        <v>-0.22929555766162066</v>
      </c>
      <c r="E2228" s="274">
        <f>$E$1945</f>
        <v>-0.78888657208638369</v>
      </c>
      <c r="F2228" s="274">
        <f>$F$1945</f>
        <v>-0.78888657208638369</v>
      </c>
      <c r="G2228" s="274">
        <f>$G$1945</f>
        <v>-0.22929555766162066</v>
      </c>
      <c r="H2228" s="274">
        <f>$H$1945</f>
        <v>-0.78888657208638369</v>
      </c>
      <c r="I2228" s="274">
        <f>$I$1945</f>
        <v>-0.78888657208638369</v>
      </c>
      <c r="J2228" s="274">
        <f>$J$1945</f>
        <v>-0.78888657208638369</v>
      </c>
      <c r="K2228" s="265"/>
    </row>
    <row r="2229" spans="1:11">
      <c r="A2229" s="285" t="s">
        <v>66</v>
      </c>
      <c r="B2229" s="274">
        <f>$B$1946</f>
        <v>0</v>
      </c>
      <c r="C2229" s="274">
        <f>$C$1946</f>
        <v>-0.22929555766162066</v>
      </c>
      <c r="D2229" s="274">
        <f>$D$1946</f>
        <v>-0.22929555766162066</v>
      </c>
      <c r="E2229" s="274">
        <f>$E$1946</f>
        <v>-0.78888657208638369</v>
      </c>
      <c r="F2229" s="274">
        <f>$F$1946</f>
        <v>-0.78888657208638369</v>
      </c>
      <c r="G2229" s="274">
        <f>$G$1946</f>
        <v>-0.22929555766162066</v>
      </c>
      <c r="H2229" s="274">
        <f>$H$1946</f>
        <v>-0.78888657208638369</v>
      </c>
      <c r="I2229" s="274">
        <f>$I$1946</f>
        <v>-0.78888657208638369</v>
      </c>
      <c r="J2229" s="274">
        <f>$J$1946</f>
        <v>-0.78888657208638369</v>
      </c>
      <c r="K2229" s="265"/>
    </row>
    <row r="2230" spans="1:11">
      <c r="A2230" s="285" t="s">
        <v>1519</v>
      </c>
      <c r="B2230" s="274">
        <f>$B$1947</f>
        <v>0</v>
      </c>
      <c r="C2230" s="274">
        <f>$C$1947</f>
        <v>-0.22929555766162066</v>
      </c>
      <c r="D2230" s="274">
        <f>$D$1947</f>
        <v>-0.22929555766162066</v>
      </c>
      <c r="E2230" s="274">
        <f>$E$1947</f>
        <v>-0.78888657208638369</v>
      </c>
      <c r="F2230" s="274">
        <f>$F$1947</f>
        <v>-0.78888657208638369</v>
      </c>
      <c r="G2230" s="274">
        <f>$G$1947</f>
        <v>-0.22929555766162066</v>
      </c>
      <c r="H2230" s="274">
        <f>$H$1947</f>
        <v>-0.78888657208638369</v>
      </c>
      <c r="I2230" s="274">
        <f>$I$1947</f>
        <v>-0.78888657208638369</v>
      </c>
      <c r="J2230" s="274">
        <f>$J$1947</f>
        <v>-0.78888657208638369</v>
      </c>
      <c r="K2230" s="265"/>
    </row>
    <row r="2231" spans="1:11">
      <c r="A2231" s="285" t="s">
        <v>75</v>
      </c>
      <c r="B2231" s="274">
        <f>$B$1948</f>
        <v>0</v>
      </c>
      <c r="C2231" s="274">
        <f>$C$1948</f>
        <v>-0.22929555766162066</v>
      </c>
      <c r="D2231" s="274">
        <f>$D$1948</f>
        <v>-0.22929555766162066</v>
      </c>
      <c r="E2231" s="274">
        <f>$E$1948</f>
        <v>-0.78888657208638369</v>
      </c>
      <c r="F2231" s="274">
        <f>$F$1948</f>
        <v>-0.78888657208638369</v>
      </c>
      <c r="G2231" s="274">
        <f>$G$1948</f>
        <v>-0.22929555766162066</v>
      </c>
      <c r="H2231" s="274">
        <f>$H$1948</f>
        <v>-0.78888657208638369</v>
      </c>
      <c r="I2231" s="274">
        <f>$I$1948</f>
        <v>-0.78888657208638369</v>
      </c>
      <c r="J2231" s="274">
        <f>$J$1948</f>
        <v>-0.78888657208638369</v>
      </c>
      <c r="K2231" s="265"/>
    </row>
    <row r="2232" spans="1:11">
      <c r="A2232" s="285" t="s">
        <v>1521</v>
      </c>
      <c r="B2232" s="274">
        <f>$B$1949</f>
        <v>0</v>
      </c>
      <c r="C2232" s="274">
        <f>$C$1949</f>
        <v>-0.22929555766162066</v>
      </c>
      <c r="D2232" s="274">
        <f>$D$1949</f>
        <v>-0.22929555766162066</v>
      </c>
      <c r="E2232" s="274">
        <f>$E$1949</f>
        <v>-0.78888657208638369</v>
      </c>
      <c r="F2232" s="274">
        <f>$F$1949</f>
        <v>-0.78888657208638369</v>
      </c>
      <c r="G2232" s="274">
        <f>$G$1949</f>
        <v>-0.22929555766162066</v>
      </c>
      <c r="H2232" s="274">
        <f>$H$1949</f>
        <v>-0.78888657208638369</v>
      </c>
      <c r="I2232" s="274">
        <f>$I$1949</f>
        <v>-0.78888657208638369</v>
      </c>
      <c r="J2232" s="274">
        <f>$J$1949</f>
        <v>-0.78888657208638369</v>
      </c>
      <c r="K2232" s="265"/>
    </row>
    <row r="2234" spans="1:11" ht="21" customHeight="1">
      <c r="A2234" s="1" t="s">
        <v>1361</v>
      </c>
    </row>
    <row r="2235" spans="1:11">
      <c r="A2235" s="264" t="s">
        <v>217</v>
      </c>
    </row>
    <row r="2236" spans="1:11">
      <c r="A2236" s="269" t="s">
        <v>1362</v>
      </c>
    </row>
    <row r="2237" spans="1:11">
      <c r="A2237" s="269" t="s">
        <v>1363</v>
      </c>
    </row>
    <row r="2238" spans="1:11">
      <c r="A2238" s="264" t="s">
        <v>235</v>
      </c>
    </row>
    <row r="2240" spans="1:11">
      <c r="B2240" s="284" t="s">
        <v>22</v>
      </c>
      <c r="C2240" s="284" t="s">
        <v>23</v>
      </c>
      <c r="D2240" s="284" t="s">
        <v>24</v>
      </c>
      <c r="E2240" s="284" t="s">
        <v>25</v>
      </c>
      <c r="F2240" s="284" t="s">
        <v>26</v>
      </c>
      <c r="G2240" s="284" t="s">
        <v>31</v>
      </c>
      <c r="H2240" s="284" t="s">
        <v>27</v>
      </c>
      <c r="I2240" s="284" t="s">
        <v>28</v>
      </c>
      <c r="J2240" s="284" t="s">
        <v>29</v>
      </c>
    </row>
    <row r="2241" spans="1:11">
      <c r="A2241" s="285" t="s">
        <v>1178</v>
      </c>
      <c r="B2241" s="274">
        <f>$B$1958</f>
        <v>0</v>
      </c>
      <c r="C2241" s="274">
        <f>$C$1958</f>
        <v>0.17771577414806064</v>
      </c>
      <c r="D2241" s="274">
        <f>$D$1958</f>
        <v>0.17771577414806064</v>
      </c>
      <c r="E2241" s="274">
        <f>$E$1958</f>
        <v>0.23605056358548754</v>
      </c>
      <c r="F2241" s="274">
        <f>$F$1958</f>
        <v>0.23605056358548754</v>
      </c>
      <c r="G2241" s="274">
        <f>$G$1958</f>
        <v>0.17771577414806064</v>
      </c>
      <c r="H2241" s="274">
        <f>$H$1958</f>
        <v>0.23605056358548754</v>
      </c>
      <c r="I2241" s="274">
        <f>$I$1958</f>
        <v>0.23605056358548754</v>
      </c>
      <c r="J2241" s="274">
        <f>$J$1958</f>
        <v>0.23605056358548754</v>
      </c>
      <c r="K2241" s="265"/>
    </row>
    <row r="2242" spans="1:11">
      <c r="A2242" s="285" t="s">
        <v>1177</v>
      </c>
      <c r="B2242" s="274">
        <f>$B$1959</f>
        <v>0</v>
      </c>
      <c r="C2242" s="274">
        <f>$C$1959</f>
        <v>0.18119898658345079</v>
      </c>
      <c r="D2242" s="274">
        <f>$D$1959</f>
        <v>0.18119898658345079</v>
      </c>
      <c r="E2242" s="274">
        <f>$E$1959</f>
        <v>0.24076004607253396</v>
      </c>
      <c r="F2242" s="274">
        <f>$F$1959</f>
        <v>0.24076004607253396</v>
      </c>
      <c r="G2242" s="274">
        <f>$G$1959</f>
        <v>0.18119898658345079</v>
      </c>
      <c r="H2242" s="274">
        <f>$H$1959</f>
        <v>0.24076004607253396</v>
      </c>
      <c r="I2242" s="274">
        <f>$I$1959</f>
        <v>0.24076004607253396</v>
      </c>
      <c r="J2242" s="274">
        <f>$J$1959</f>
        <v>0.24076004607253396</v>
      </c>
      <c r="K2242" s="265"/>
    </row>
    <row r="2243" spans="1:11">
      <c r="A2243" s="285" t="s">
        <v>60</v>
      </c>
      <c r="B2243" s="274">
        <f>$B$1960</f>
        <v>0</v>
      </c>
      <c r="C2243" s="274">
        <f>$C$1960</f>
        <v>0.14303133158069933</v>
      </c>
      <c r="D2243" s="274">
        <f>$D$1960</f>
        <v>0.14303133158069933</v>
      </c>
      <c r="E2243" s="274">
        <f>$E$1960</f>
        <v>0.18999449053027295</v>
      </c>
      <c r="F2243" s="274">
        <f>$F$1960</f>
        <v>0.18999449053027295</v>
      </c>
      <c r="G2243" s="274">
        <f>$G$1960</f>
        <v>0.14303133158069933</v>
      </c>
      <c r="H2243" s="274">
        <f>$H$1960</f>
        <v>0.18999449053027295</v>
      </c>
      <c r="I2243" s="274">
        <f>$I$1960</f>
        <v>0.18999449053027295</v>
      </c>
      <c r="J2243" s="274">
        <f>$J$1960</f>
        <v>0.18999449053027295</v>
      </c>
      <c r="K2243" s="265"/>
    </row>
    <row r="2244" spans="1:11">
      <c r="A2244" s="285" t="s">
        <v>61</v>
      </c>
      <c r="B2244" s="274">
        <f>$B$1961</f>
        <v>0</v>
      </c>
      <c r="C2244" s="274">
        <f>$C$1961</f>
        <v>0.1364174336561374</v>
      </c>
      <c r="D2244" s="274">
        <f>$D$1961</f>
        <v>0.1364174336561374</v>
      </c>
      <c r="E2244" s="274">
        <f>$E$1961</f>
        <v>0.18120897372979911</v>
      </c>
      <c r="F2244" s="274">
        <f>$F$1961</f>
        <v>0.18120897372979911</v>
      </c>
      <c r="G2244" s="274">
        <f>$G$1961</f>
        <v>0.1364174336561374</v>
      </c>
      <c r="H2244" s="274">
        <f>$H$1961</f>
        <v>0.18120897372979911</v>
      </c>
      <c r="I2244" s="274">
        <f>$I$1961</f>
        <v>0.18120897372979911</v>
      </c>
      <c r="J2244" s="274">
        <f>$J$1961</f>
        <v>0.18120897372979911</v>
      </c>
      <c r="K2244" s="265"/>
    </row>
    <row r="2245" spans="1:11">
      <c r="A2245" s="285" t="s">
        <v>73</v>
      </c>
      <c r="B2245" s="274">
        <f>$B$1962</f>
        <v>0</v>
      </c>
      <c r="C2245" s="274">
        <f>$C$1962</f>
        <v>0.12534040314606038</v>
      </c>
      <c r="D2245" s="274">
        <f>$D$1962</f>
        <v>0.12534040314606038</v>
      </c>
      <c r="E2245" s="274">
        <f>$E$1962</f>
        <v>0.16649489154170902</v>
      </c>
      <c r="F2245" s="274">
        <f>$F$1962</f>
        <v>0.16649489154170902</v>
      </c>
      <c r="G2245" s="274">
        <f>$G$1962</f>
        <v>0.12534040314606038</v>
      </c>
      <c r="H2245" s="274">
        <f>$H$1962</f>
        <v>0.16649489154170902</v>
      </c>
      <c r="I2245" s="274">
        <f>$I$1962</f>
        <v>0.16649489154170902</v>
      </c>
      <c r="J2245" s="274">
        <f>$J$1962</f>
        <v>0.16649489154170902</v>
      </c>
      <c r="K2245" s="265"/>
    </row>
    <row r="2246" spans="1:11">
      <c r="A2246" s="285" t="s">
        <v>97</v>
      </c>
      <c r="B2246" s="274">
        <f>$B$2174</f>
        <v>0</v>
      </c>
      <c r="C2246" s="274">
        <f>$C$2174</f>
        <v>0.12302740870532504</v>
      </c>
      <c r="D2246" s="274">
        <f>$D$2174</f>
        <v>0.12302740870532504</v>
      </c>
      <c r="E2246" s="274">
        <f>$E$2174</f>
        <v>0.16342244443861462</v>
      </c>
      <c r="F2246" s="274">
        <f>$F$2174</f>
        <v>0.16342244443861462</v>
      </c>
      <c r="G2246" s="274">
        <f>$G$2174</f>
        <v>0.12302740870532504</v>
      </c>
      <c r="H2246" s="274">
        <f>$H$2174</f>
        <v>0.16342244443861462</v>
      </c>
      <c r="I2246" s="274">
        <f>$I$2174</f>
        <v>0.16342244443861462</v>
      </c>
      <c r="J2246" s="274">
        <f>$J$2174</f>
        <v>0.16342244443861462</v>
      </c>
      <c r="K2246" s="265"/>
    </row>
    <row r="2247" spans="1:11">
      <c r="A2247" s="285" t="s">
        <v>64</v>
      </c>
      <c r="B2247" s="274">
        <f>$B$1963</f>
        <v>0</v>
      </c>
      <c r="C2247" s="274">
        <f>$C$1963</f>
        <v>-0.11993002561968572</v>
      </c>
      <c r="D2247" s="274">
        <f>$D$1963</f>
        <v>-0.11993002561968572</v>
      </c>
      <c r="E2247" s="274">
        <f>$E$1963</f>
        <v>-0.15930806114350346</v>
      </c>
      <c r="F2247" s="274">
        <f>$F$1963</f>
        <v>-0.15930806114350346</v>
      </c>
      <c r="G2247" s="274">
        <f>$G$1963</f>
        <v>-0.11993002561968572</v>
      </c>
      <c r="H2247" s="274">
        <f>$H$1963</f>
        <v>-0.15930806114350346</v>
      </c>
      <c r="I2247" s="274">
        <f>$I$1963</f>
        <v>-0.15930806114350346</v>
      </c>
      <c r="J2247" s="274">
        <f>$J$1963</f>
        <v>-0.15930806114350346</v>
      </c>
      <c r="K2247" s="265"/>
    </row>
    <row r="2248" spans="1:11">
      <c r="A2248" s="285" t="s">
        <v>1517</v>
      </c>
      <c r="B2248" s="274">
        <f>$B$1964</f>
        <v>0</v>
      </c>
      <c r="C2248" s="274">
        <f>$C$1964</f>
        <v>-0.11993002561968572</v>
      </c>
      <c r="D2248" s="274">
        <f>$D$1964</f>
        <v>-0.11993002561968572</v>
      </c>
      <c r="E2248" s="274">
        <f>$E$1964</f>
        <v>-0.15930806114350346</v>
      </c>
      <c r="F2248" s="274">
        <f>$F$1964</f>
        <v>-0.15930806114350346</v>
      </c>
      <c r="G2248" s="274">
        <f>$G$1964</f>
        <v>-0.11993002561968572</v>
      </c>
      <c r="H2248" s="274">
        <f>$H$1964</f>
        <v>-0.15930806114350346</v>
      </c>
      <c r="I2248" s="274">
        <f>$I$1964</f>
        <v>-0.15930806114350346</v>
      </c>
      <c r="J2248" s="274">
        <f>$J$1964</f>
        <v>-0.15930806114350346</v>
      </c>
      <c r="K2248" s="265"/>
    </row>
    <row r="2249" spans="1:11">
      <c r="A2249" s="285" t="s">
        <v>66</v>
      </c>
      <c r="B2249" s="274">
        <f>$B$1965</f>
        <v>0</v>
      </c>
      <c r="C2249" s="274">
        <f>$C$1965</f>
        <v>-0.11993002561968572</v>
      </c>
      <c r="D2249" s="274">
        <f>$D$1965</f>
        <v>-0.11993002561968572</v>
      </c>
      <c r="E2249" s="274">
        <f>$E$1965</f>
        <v>-0.15930806114350346</v>
      </c>
      <c r="F2249" s="274">
        <f>$F$1965</f>
        <v>-0.15930806114350346</v>
      </c>
      <c r="G2249" s="274">
        <f>$G$1965</f>
        <v>-0.11993002561968572</v>
      </c>
      <c r="H2249" s="274">
        <f>$H$1965</f>
        <v>-0.15930806114350346</v>
      </c>
      <c r="I2249" s="274">
        <f>$I$1965</f>
        <v>-0.15930806114350346</v>
      </c>
      <c r="J2249" s="274">
        <f>$J$1965</f>
        <v>-0.15930806114350346</v>
      </c>
      <c r="K2249" s="265"/>
    </row>
    <row r="2250" spans="1:11">
      <c r="A2250" s="285" t="s">
        <v>1519</v>
      </c>
      <c r="B2250" s="274">
        <f>$B$1966</f>
        <v>0</v>
      </c>
      <c r="C2250" s="274">
        <f>$C$1966</f>
        <v>-0.11993002561968572</v>
      </c>
      <c r="D2250" s="274">
        <f>$D$1966</f>
        <v>-0.11993002561968572</v>
      </c>
      <c r="E2250" s="274">
        <f>$E$1966</f>
        <v>-0.15930806114350346</v>
      </c>
      <c r="F2250" s="274">
        <f>$F$1966</f>
        <v>-0.15930806114350346</v>
      </c>
      <c r="G2250" s="274">
        <f>$G$1966</f>
        <v>-0.11993002561968572</v>
      </c>
      <c r="H2250" s="274">
        <f>$H$1966</f>
        <v>-0.15930806114350346</v>
      </c>
      <c r="I2250" s="274">
        <f>$I$1966</f>
        <v>-0.15930806114350346</v>
      </c>
      <c r="J2250" s="274">
        <f>$J$1966</f>
        <v>-0.15930806114350346</v>
      </c>
      <c r="K2250" s="265"/>
    </row>
    <row r="2251" spans="1:11">
      <c r="A2251" s="285" t="s">
        <v>75</v>
      </c>
      <c r="B2251" s="274">
        <f>$B$1967</f>
        <v>0</v>
      </c>
      <c r="C2251" s="274">
        <f>$C$1967</f>
        <v>-0.11993002561968572</v>
      </c>
      <c r="D2251" s="274">
        <f>$D$1967</f>
        <v>-0.11993002561968572</v>
      </c>
      <c r="E2251" s="274">
        <f>$E$1967</f>
        <v>-0.15930806114350346</v>
      </c>
      <c r="F2251" s="274">
        <f>$F$1967</f>
        <v>-0.15930806114350346</v>
      </c>
      <c r="G2251" s="274">
        <f>$G$1967</f>
        <v>-0.11993002561968572</v>
      </c>
      <c r="H2251" s="274">
        <f>$H$1967</f>
        <v>-0.15930806114350346</v>
      </c>
      <c r="I2251" s="274">
        <f>$I$1967</f>
        <v>-0.15930806114350346</v>
      </c>
      <c r="J2251" s="274">
        <f>$J$1967</f>
        <v>-0.15930806114350346</v>
      </c>
      <c r="K2251" s="265"/>
    </row>
    <row r="2252" spans="1:11">
      <c r="A2252" s="285" t="s">
        <v>1521</v>
      </c>
      <c r="B2252" s="274">
        <f>$B$1968</f>
        <v>0</v>
      </c>
      <c r="C2252" s="274">
        <f>$C$1968</f>
        <v>-0.11993002561968572</v>
      </c>
      <c r="D2252" s="274">
        <f>$D$1968</f>
        <v>-0.11993002561968572</v>
      </c>
      <c r="E2252" s="274">
        <f>$E$1968</f>
        <v>-0.15930806114350346</v>
      </c>
      <c r="F2252" s="274">
        <f>$F$1968</f>
        <v>-0.15930806114350346</v>
      </c>
      <c r="G2252" s="274">
        <f>$G$1968</f>
        <v>-0.11993002561968572</v>
      </c>
      <c r="H2252" s="274">
        <f>$H$1968</f>
        <v>-0.15930806114350346</v>
      </c>
      <c r="I2252" s="274">
        <f>$I$1968</f>
        <v>-0.15930806114350346</v>
      </c>
      <c r="J2252" s="274">
        <f>$J$1968</f>
        <v>-0.15930806114350346</v>
      </c>
      <c r="K2252" s="265"/>
    </row>
    <row r="2254" spans="1:11" ht="21" customHeight="1">
      <c r="A2254" s="1" t="str">
        <f>"Forecast simultaneous maximum load for "&amp;CDCM!B7&amp;" in "&amp;CDCM!C7&amp;" ("&amp;CDCM!D7&amp;")"</f>
        <v>Forecast simultaneous maximum load for 0 in 0 (0)</v>
      </c>
    </row>
    <row r="2256" spans="1:11" ht="21" customHeight="1">
      <c r="A2256" s="1" t="s">
        <v>490</v>
      </c>
    </row>
    <row r="2257" spans="1:11">
      <c r="A2257" s="264" t="s">
        <v>217</v>
      </c>
    </row>
    <row r="2258" spans="1:11">
      <c r="A2258" s="269" t="s">
        <v>424</v>
      </c>
    </row>
    <row r="2259" spans="1:11">
      <c r="A2259" s="269" t="s">
        <v>1364</v>
      </c>
    </row>
    <row r="2260" spans="1:11">
      <c r="A2260" s="269" t="s">
        <v>491</v>
      </c>
    </row>
    <row r="2261" spans="1:11">
      <c r="A2261" s="269" t="s">
        <v>408</v>
      </c>
    </row>
    <row r="2262" spans="1:11">
      <c r="A2262" s="264" t="s">
        <v>492</v>
      </c>
    </row>
    <row r="2264" spans="1:11">
      <c r="B2264" s="284" t="s">
        <v>22</v>
      </c>
      <c r="C2264" s="284" t="s">
        <v>23</v>
      </c>
      <c r="D2264" s="284" t="s">
        <v>24</v>
      </c>
      <c r="E2264" s="284" t="s">
        <v>25</v>
      </c>
      <c r="F2264" s="284" t="s">
        <v>26</v>
      </c>
      <c r="G2264" s="284" t="s">
        <v>31</v>
      </c>
      <c r="H2264" s="284" t="s">
        <v>27</v>
      </c>
      <c r="I2264" s="284" t="s">
        <v>28</v>
      </c>
      <c r="J2264" s="284" t="s">
        <v>29</v>
      </c>
    </row>
    <row r="2265" spans="1:11">
      <c r="A2265" s="285" t="s">
        <v>54</v>
      </c>
      <c r="B2265" s="275">
        <f t="shared" ref="B2265:J2265" si="177">($B$1268*B$2183)*B$612/(24*$F$14)*1000</f>
        <v>1150839.049350671</v>
      </c>
      <c r="C2265" s="275">
        <f t="shared" si="177"/>
        <v>1092910.8388016631</v>
      </c>
      <c r="D2265" s="275">
        <f t="shared" si="177"/>
        <v>1088565.2688660703</v>
      </c>
      <c r="E2265" s="275">
        <f t="shared" si="177"/>
        <v>1018505.4532312701</v>
      </c>
      <c r="F2265" s="275">
        <f t="shared" si="177"/>
        <v>1009527.4423800643</v>
      </c>
      <c r="G2265" s="275">
        <f t="shared" si="177"/>
        <v>0</v>
      </c>
      <c r="H2265" s="275">
        <f t="shared" si="177"/>
        <v>992993.75594416703</v>
      </c>
      <c r="I2265" s="275">
        <f t="shared" si="177"/>
        <v>982581.04734990047</v>
      </c>
      <c r="J2265" s="275">
        <f t="shared" si="177"/>
        <v>970553.21908667183</v>
      </c>
      <c r="K2265" s="265"/>
    </row>
    <row r="2266" spans="1:11">
      <c r="A2266" s="285" t="s">
        <v>91</v>
      </c>
      <c r="B2266" s="275">
        <f t="shared" ref="B2266:J2266" si="178">($B$1270*B$2185)*B$614/(24*$F$14)*1000</f>
        <v>125.92638346354479</v>
      </c>
      <c r="C2266" s="275">
        <f t="shared" si="178"/>
        <v>838.2039711476956</v>
      </c>
      <c r="D2266" s="275">
        <f t="shared" si="178"/>
        <v>834.8711521769294</v>
      </c>
      <c r="E2266" s="275">
        <f t="shared" si="178"/>
        <v>1327.7286283250833</v>
      </c>
      <c r="F2266" s="275">
        <f t="shared" si="178"/>
        <v>1316.0248500146765</v>
      </c>
      <c r="G2266" s="275">
        <f t="shared" si="178"/>
        <v>0</v>
      </c>
      <c r="H2266" s="275">
        <f t="shared" si="178"/>
        <v>1294.471456517326</v>
      </c>
      <c r="I2266" s="275">
        <f t="shared" si="178"/>
        <v>1280.8973992993181</v>
      </c>
      <c r="J2266" s="275">
        <f t="shared" si="178"/>
        <v>1265.2178642796464</v>
      </c>
      <c r="K2266" s="265"/>
    </row>
    <row r="2267" spans="1:11">
      <c r="A2267" s="285" t="s">
        <v>56</v>
      </c>
      <c r="B2267" s="275">
        <f t="shared" ref="B2267:J2267" si="179">($B$1271*B$2186)*B$615/(24*$F$14)*1000</f>
        <v>230831.36646273715</v>
      </c>
      <c r="C2267" s="275">
        <f t="shared" si="179"/>
        <v>232746.76281315886</v>
      </c>
      <c r="D2267" s="275">
        <f t="shared" si="179"/>
        <v>231821.32836857374</v>
      </c>
      <c r="E2267" s="275">
        <f t="shared" si="179"/>
        <v>247335.08143398204</v>
      </c>
      <c r="F2267" s="275">
        <f t="shared" si="179"/>
        <v>245154.85054964726</v>
      </c>
      <c r="G2267" s="275">
        <f t="shared" si="179"/>
        <v>0</v>
      </c>
      <c r="H2267" s="275">
        <f t="shared" si="179"/>
        <v>241139.7903768688</v>
      </c>
      <c r="I2267" s="275">
        <f t="shared" si="179"/>
        <v>238611.15577806471</v>
      </c>
      <c r="J2267" s="275">
        <f t="shared" si="179"/>
        <v>235690.30358869096</v>
      </c>
      <c r="K2267" s="265"/>
    </row>
    <row r="2268" spans="1:11">
      <c r="A2268" s="285" t="s">
        <v>92</v>
      </c>
      <c r="B2268" s="275">
        <f t="shared" ref="B2268:J2268" si="180">($B$1273*B$2188)*B$617/(24*$F$14)*1000</f>
        <v>73.771706509877575</v>
      </c>
      <c r="C2268" s="275">
        <f t="shared" si="180"/>
        <v>337.78839203844859</v>
      </c>
      <c r="D2268" s="275">
        <f t="shared" si="180"/>
        <v>336.44529704028378</v>
      </c>
      <c r="E2268" s="275">
        <f t="shared" si="180"/>
        <v>524.23061630202255</v>
      </c>
      <c r="F2268" s="275">
        <f t="shared" si="180"/>
        <v>519.6095824658637</v>
      </c>
      <c r="G2268" s="275">
        <f t="shared" si="180"/>
        <v>0</v>
      </c>
      <c r="H2268" s="275">
        <f t="shared" si="180"/>
        <v>511.0995989380026</v>
      </c>
      <c r="I2268" s="275">
        <f t="shared" si="180"/>
        <v>505.74011791958708</v>
      </c>
      <c r="J2268" s="275">
        <f t="shared" si="180"/>
        <v>499.54932551567487</v>
      </c>
      <c r="K2268" s="265"/>
    </row>
    <row r="2269" spans="1:11">
      <c r="A2269" s="285" t="s">
        <v>93</v>
      </c>
      <c r="B2269" s="275">
        <f t="shared" ref="B2269:J2269" si="181">($B$1282*B$2197)*B$626/(24*$F$14)*1000</f>
        <v>1269.5502184039296</v>
      </c>
      <c r="C2269" s="275">
        <f t="shared" si="181"/>
        <v>1267.1512528590968</v>
      </c>
      <c r="D2269" s="275">
        <f t="shared" si="181"/>
        <v>1262.1128780962374</v>
      </c>
      <c r="E2269" s="275">
        <f t="shared" si="181"/>
        <v>1255.030081386202</v>
      </c>
      <c r="F2269" s="275">
        <f t="shared" si="181"/>
        <v>1243.9671325786844</v>
      </c>
      <c r="G2269" s="275">
        <f t="shared" si="181"/>
        <v>0</v>
      </c>
      <c r="H2269" s="275">
        <f t="shared" si="181"/>
        <v>1223.5938751087058</v>
      </c>
      <c r="I2269" s="275">
        <f t="shared" si="181"/>
        <v>1210.7630527767749</v>
      </c>
      <c r="J2269" s="275">
        <f t="shared" si="181"/>
        <v>1195.9420361231982</v>
      </c>
      <c r="K2269" s="265"/>
    </row>
    <row r="2270" spans="1:11">
      <c r="A2270" s="285" t="s">
        <v>94</v>
      </c>
      <c r="B2270" s="275">
        <f t="shared" ref="B2270:J2270" si="182">($B$1283*B$2198)*B$627/(24*$F$14)*1000</f>
        <v>1735.4066266782456</v>
      </c>
      <c r="C2270" s="275">
        <f t="shared" si="182"/>
        <v>1630.6088579469244</v>
      </c>
      <c r="D2270" s="275">
        <f t="shared" si="182"/>
        <v>1624.1253237204953</v>
      </c>
      <c r="E2270" s="275">
        <f t="shared" si="182"/>
        <v>1234.0446863349291</v>
      </c>
      <c r="F2270" s="275">
        <f t="shared" si="182"/>
        <v>1223.1667214211052</v>
      </c>
      <c r="G2270" s="275">
        <f t="shared" si="182"/>
        <v>0</v>
      </c>
      <c r="H2270" s="275">
        <f t="shared" si="182"/>
        <v>1203.1341257908941</v>
      </c>
      <c r="I2270" s="275">
        <f t="shared" si="182"/>
        <v>1190.5178480180632</v>
      </c>
      <c r="J2270" s="275">
        <f t="shared" si="182"/>
        <v>1175.9446540216084</v>
      </c>
      <c r="K2270" s="265"/>
    </row>
    <row r="2271" spans="1:11">
      <c r="A2271" s="285" t="s">
        <v>95</v>
      </c>
      <c r="B2271" s="275">
        <f t="shared" ref="B2271:J2271" si="183">($B$1284*B$2199)*B$628/(24*$F$14)*1000</f>
        <v>394.50616646254815</v>
      </c>
      <c r="C2271" s="275">
        <f t="shared" si="183"/>
        <v>358.76729174855279</v>
      </c>
      <c r="D2271" s="275">
        <f t="shared" si="183"/>
        <v>357.34078164219676</v>
      </c>
      <c r="E2271" s="275">
        <f t="shared" si="183"/>
        <v>263.06807815335355</v>
      </c>
      <c r="F2271" s="275">
        <f t="shared" si="183"/>
        <v>260.7491626750184</v>
      </c>
      <c r="G2271" s="275">
        <f t="shared" si="183"/>
        <v>0</v>
      </c>
      <c r="H2271" s="275">
        <f t="shared" si="183"/>
        <v>256.47870432677627</v>
      </c>
      <c r="I2271" s="275">
        <f t="shared" si="183"/>
        <v>253.78922315652414</v>
      </c>
      <c r="J2271" s="275">
        <f t="shared" si="183"/>
        <v>250.6825754154367</v>
      </c>
      <c r="K2271" s="265"/>
    </row>
    <row r="2272" spans="1:11">
      <c r="A2272" s="285" t="s">
        <v>96</v>
      </c>
      <c r="B2272" s="275">
        <f t="shared" ref="B2272:J2272" si="184">($B$1285*B$2200)*B$629/(24*$F$14)*1000</f>
        <v>0</v>
      </c>
      <c r="C2272" s="275">
        <f t="shared" si="184"/>
        <v>0</v>
      </c>
      <c r="D2272" s="275">
        <f t="shared" si="184"/>
        <v>0</v>
      </c>
      <c r="E2272" s="275">
        <f t="shared" si="184"/>
        <v>0</v>
      </c>
      <c r="F2272" s="275">
        <f t="shared" si="184"/>
        <v>0</v>
      </c>
      <c r="G2272" s="275">
        <f t="shared" si="184"/>
        <v>0</v>
      </c>
      <c r="H2272" s="275">
        <f t="shared" si="184"/>
        <v>0</v>
      </c>
      <c r="I2272" s="275">
        <f t="shared" si="184"/>
        <v>0</v>
      </c>
      <c r="J2272" s="275">
        <f t="shared" si="184"/>
        <v>0</v>
      </c>
      <c r="K2272" s="265"/>
    </row>
    <row r="2274" spans="1:11" ht="21" customHeight="1">
      <c r="A2274" s="1" t="s">
        <v>493</v>
      </c>
    </row>
    <row r="2275" spans="1:11">
      <c r="A2275" s="264" t="s">
        <v>217</v>
      </c>
    </row>
    <row r="2276" spans="1:11">
      <c r="A2276" s="269" t="s">
        <v>424</v>
      </c>
    </row>
    <row r="2277" spans="1:11">
      <c r="A2277" s="269" t="s">
        <v>1364</v>
      </c>
    </row>
    <row r="2278" spans="1:11">
      <c r="A2278" s="269" t="s">
        <v>494</v>
      </c>
    </row>
    <row r="2279" spans="1:11">
      <c r="A2279" s="269" t="s">
        <v>1365</v>
      </c>
    </row>
    <row r="2280" spans="1:11">
      <c r="A2280" s="269" t="s">
        <v>495</v>
      </c>
    </row>
    <row r="2281" spans="1:11">
      <c r="A2281" s="269" t="s">
        <v>473</v>
      </c>
    </row>
    <row r="2282" spans="1:11">
      <c r="A2282" s="264" t="s">
        <v>496</v>
      </c>
    </row>
    <row r="2284" spans="1:11">
      <c r="B2284" s="284" t="s">
        <v>22</v>
      </c>
      <c r="C2284" s="284" t="s">
        <v>23</v>
      </c>
      <c r="D2284" s="284" t="s">
        <v>24</v>
      </c>
      <c r="E2284" s="284" t="s">
        <v>25</v>
      </c>
      <c r="F2284" s="284" t="s">
        <v>26</v>
      </c>
      <c r="G2284" s="284" t="s">
        <v>31</v>
      </c>
      <c r="H2284" s="284" t="s">
        <v>27</v>
      </c>
      <c r="I2284" s="284" t="s">
        <v>28</v>
      </c>
      <c r="J2284" s="284" t="s">
        <v>29</v>
      </c>
    </row>
    <row r="2285" spans="1:11">
      <c r="A2285" s="285" t="s">
        <v>55</v>
      </c>
      <c r="B2285" s="275">
        <f t="shared" ref="B2285:J2285" si="185">($B$1269*B$2184+$C$1269*B$2216)*B$613/(24*$F$14)*1000</f>
        <v>205095.38169575037</v>
      </c>
      <c r="C2285" s="275">
        <f t="shared" si="185"/>
        <v>206770.44610180895</v>
      </c>
      <c r="D2285" s="275">
        <f t="shared" si="185"/>
        <v>205948.29721074807</v>
      </c>
      <c r="E2285" s="275">
        <f t="shared" si="185"/>
        <v>197399.47003675156</v>
      </c>
      <c r="F2285" s="275">
        <f t="shared" si="185"/>
        <v>195659.41594240218</v>
      </c>
      <c r="G2285" s="275">
        <f t="shared" si="185"/>
        <v>0</v>
      </c>
      <c r="H2285" s="275">
        <f t="shared" si="185"/>
        <v>192454.97464084061</v>
      </c>
      <c r="I2285" s="275">
        <f t="shared" si="185"/>
        <v>190436.85765223319</v>
      </c>
      <c r="J2285" s="275">
        <f t="shared" si="185"/>
        <v>188105.7096772058</v>
      </c>
      <c r="K2285" s="265"/>
    </row>
    <row r="2286" spans="1:11">
      <c r="A2286" s="285" t="s">
        <v>57</v>
      </c>
      <c r="B2286" s="275">
        <f t="shared" ref="B2286:J2286" si="186">($B$1272*B$2187+$C$1272*B$2217)*B$616/(24*$F$14)*1000</f>
        <v>95421.384155964464</v>
      </c>
      <c r="C2286" s="275">
        <f t="shared" si="186"/>
        <v>96933.659711983593</v>
      </c>
      <c r="D2286" s="275">
        <f t="shared" si="186"/>
        <v>96548.237605772913</v>
      </c>
      <c r="E2286" s="275">
        <f t="shared" si="186"/>
        <v>100153.9382960931</v>
      </c>
      <c r="F2286" s="275">
        <f t="shared" si="186"/>
        <v>99271.092610819047</v>
      </c>
      <c r="G2286" s="275">
        <f t="shared" si="186"/>
        <v>0</v>
      </c>
      <c r="H2286" s="275">
        <f t="shared" si="186"/>
        <v>97645.26546786727</v>
      </c>
      <c r="I2286" s="275">
        <f t="shared" si="186"/>
        <v>96621.339900520717</v>
      </c>
      <c r="J2286" s="275">
        <f t="shared" si="186"/>
        <v>95438.592801926774</v>
      </c>
      <c r="K2286" s="265"/>
    </row>
    <row r="2287" spans="1:11">
      <c r="A2287" s="285" t="s">
        <v>58</v>
      </c>
      <c r="B2287" s="275">
        <f t="shared" ref="B2287:J2287" si="187">($B$1274*B$2189+$C$1274*B$2218)*B$618/(24*$F$14)*1000</f>
        <v>1.7534430925521317E-4</v>
      </c>
      <c r="C2287" s="275">
        <f t="shared" si="187"/>
        <v>1.7381969431021769E-4</v>
      </c>
      <c r="D2287" s="275">
        <f t="shared" si="187"/>
        <v>1.7312856232488879E-4</v>
      </c>
      <c r="E2287" s="275">
        <f t="shared" si="187"/>
        <v>1.7611654290821676E-4</v>
      </c>
      <c r="F2287" s="275">
        <f t="shared" si="187"/>
        <v>1.7456409541930987E-4</v>
      </c>
      <c r="G2287" s="275">
        <f t="shared" si="187"/>
        <v>0</v>
      </c>
      <c r="H2287" s="275">
        <f t="shared" si="187"/>
        <v>1.7170514587968721E-4</v>
      </c>
      <c r="I2287" s="275">
        <f t="shared" si="187"/>
        <v>1.699046152746572E-4</v>
      </c>
      <c r="J2287" s="275">
        <f t="shared" si="187"/>
        <v>1.6782480359992032E-4</v>
      </c>
      <c r="K2287" s="265"/>
    </row>
    <row r="2288" spans="1:11">
      <c r="A2288" s="285" t="s">
        <v>59</v>
      </c>
      <c r="B2288" s="275">
        <f t="shared" ref="B2288:J2288" si="188">($B$1275*B$2190+$C$1275*B$2219)*B$619/(24*$F$14)*1000</f>
        <v>1.6727031945694195E-4</v>
      </c>
      <c r="C2288" s="275">
        <f t="shared" si="188"/>
        <v>1.6658881049461848E-4</v>
      </c>
      <c r="D2288" s="275">
        <f t="shared" si="188"/>
        <v>1.6592642953837747E-4</v>
      </c>
      <c r="E2288" s="275">
        <f t="shared" si="188"/>
        <v>1.6938961251052284E-4</v>
      </c>
      <c r="F2288" s="275">
        <f t="shared" si="188"/>
        <v>1.6789646215538602E-4</v>
      </c>
      <c r="G2288" s="275">
        <f t="shared" si="188"/>
        <v>0</v>
      </c>
      <c r="H2288" s="275">
        <f t="shared" si="188"/>
        <v>1.6514671277519184E-4</v>
      </c>
      <c r="I2288" s="275">
        <f t="shared" si="188"/>
        <v>1.6341495506258256E-4</v>
      </c>
      <c r="J2288" s="275">
        <f t="shared" si="188"/>
        <v>0</v>
      </c>
      <c r="K2288" s="265"/>
    </row>
    <row r="2289" spans="1:11">
      <c r="A2289" s="285" t="s">
        <v>72</v>
      </c>
      <c r="B2289" s="275">
        <f t="shared" ref="B2289:J2289" si="189">($B$1276*B$2191+$C$1276*B$2220)*B$620/(24*$F$14)*1000</f>
        <v>1.7275371534780301E-4</v>
      </c>
      <c r="C2289" s="275">
        <f t="shared" si="189"/>
        <v>1.7231887539835661E-4</v>
      </c>
      <c r="D2289" s="275">
        <f t="shared" si="189"/>
        <v>1.7163371088385021E-4</v>
      </c>
      <c r="E2289" s="275">
        <f t="shared" si="189"/>
        <v>1.76437131768107E-4</v>
      </c>
      <c r="F2289" s="275">
        <f t="shared" si="189"/>
        <v>1.7488185832450961E-4</v>
      </c>
      <c r="G2289" s="275">
        <f t="shared" si="189"/>
        <v>0</v>
      </c>
      <c r="H2289" s="275">
        <f t="shared" si="189"/>
        <v>1.720177045754569E-4</v>
      </c>
      <c r="I2289" s="275">
        <f t="shared" si="189"/>
        <v>0</v>
      </c>
      <c r="J2289" s="275">
        <f t="shared" si="189"/>
        <v>0</v>
      </c>
      <c r="K2289" s="265"/>
    </row>
    <row r="2291" spans="1:11" ht="21" customHeight="1">
      <c r="A2291" s="1" t="s">
        <v>497</v>
      </c>
    </row>
    <row r="2292" spans="1:11">
      <c r="A2292" s="264" t="s">
        <v>217</v>
      </c>
    </row>
    <row r="2293" spans="1:11">
      <c r="A2293" s="269" t="s">
        <v>424</v>
      </c>
    </row>
    <row r="2294" spans="1:11">
      <c r="A2294" s="269" t="s">
        <v>1364</v>
      </c>
    </row>
    <row r="2295" spans="1:11">
      <c r="A2295" s="269" t="s">
        <v>494</v>
      </c>
    </row>
    <row r="2296" spans="1:11">
      <c r="A2296" s="269" t="s">
        <v>1365</v>
      </c>
    </row>
    <row r="2297" spans="1:11">
      <c r="A2297" s="269" t="s">
        <v>498</v>
      </c>
    </row>
    <row r="2298" spans="1:11">
      <c r="A2298" s="269" t="s">
        <v>1366</v>
      </c>
    </row>
    <row r="2299" spans="1:11">
      <c r="A2299" s="269" t="s">
        <v>499</v>
      </c>
    </row>
    <row r="2300" spans="1:11">
      <c r="A2300" s="269" t="s">
        <v>436</v>
      </c>
    </row>
    <row r="2301" spans="1:11">
      <c r="A2301" s="264" t="s">
        <v>500</v>
      </c>
    </row>
    <row r="2303" spans="1:11">
      <c r="B2303" s="284" t="s">
        <v>22</v>
      </c>
      <c r="C2303" s="284" t="s">
        <v>23</v>
      </c>
      <c r="D2303" s="284" t="s">
        <v>24</v>
      </c>
      <c r="E2303" s="284" t="s">
        <v>25</v>
      </c>
      <c r="F2303" s="284" t="s">
        <v>26</v>
      </c>
      <c r="G2303" s="284" t="s">
        <v>31</v>
      </c>
      <c r="H2303" s="284" t="s">
        <v>27</v>
      </c>
      <c r="I2303" s="284" t="s">
        <v>28</v>
      </c>
      <c r="J2303" s="284" t="s">
        <v>29</v>
      </c>
    </row>
    <row r="2304" spans="1:11">
      <c r="A2304" s="285" t="s">
        <v>1178</v>
      </c>
      <c r="B2304" s="275">
        <f t="shared" ref="B2304:J2304" si="190">($B$1277*B$2192+$C$1277*B$2221+$D$1277*B$2241)*B$621/(24*$F$14)*1000</f>
        <v>6.6434952765183172E-2</v>
      </c>
      <c r="C2304" s="275">
        <f t="shared" si="190"/>
        <v>5.9417878602142135E-2</v>
      </c>
      <c r="D2304" s="275">
        <f t="shared" si="190"/>
        <v>5.9181624611676364E-2</v>
      </c>
      <c r="E2304" s="275">
        <f t="shared" si="190"/>
        <v>4.890155497658194E-2</v>
      </c>
      <c r="F2304" s="275">
        <f t="shared" si="190"/>
        <v>4.8470493277473985E-2</v>
      </c>
      <c r="G2304" s="275">
        <f t="shared" si="190"/>
        <v>0</v>
      </c>
      <c r="H2304" s="275">
        <f t="shared" si="190"/>
        <v>4.7676660535935382E-2</v>
      </c>
      <c r="I2304" s="275">
        <f t="shared" si="190"/>
        <v>4.7176714619924634E-2</v>
      </c>
      <c r="J2304" s="275">
        <f t="shared" si="190"/>
        <v>4.6599221879756056E-2</v>
      </c>
      <c r="K2304" s="265"/>
    </row>
    <row r="2305" spans="1:11">
      <c r="A2305" s="285" t="s">
        <v>1177</v>
      </c>
      <c r="B2305" s="275">
        <f t="shared" ref="B2305:J2305" si="191">($B$1278*B$2193+$C$1278*B$2222+$D$1278*B$2242)*B$622/(24*$F$14)*1000</f>
        <v>82682.932679843856</v>
      </c>
      <c r="C2305" s="275">
        <f t="shared" si="191"/>
        <v>82109.506535908382</v>
      </c>
      <c r="D2305" s="275">
        <f t="shared" si="191"/>
        <v>81783.027384672154</v>
      </c>
      <c r="E2305" s="275">
        <f t="shared" si="191"/>
        <v>83080.654527854218</v>
      </c>
      <c r="F2305" s="275">
        <f t="shared" si="191"/>
        <v>82348.307915953468</v>
      </c>
      <c r="G2305" s="275">
        <f t="shared" si="191"/>
        <v>0</v>
      </c>
      <c r="H2305" s="275">
        <f t="shared" si="191"/>
        <v>80999.636206347277</v>
      </c>
      <c r="I2305" s="275">
        <f t="shared" si="191"/>
        <v>80150.259658902287</v>
      </c>
      <c r="J2305" s="275">
        <f t="shared" si="191"/>
        <v>79169.135953096484</v>
      </c>
      <c r="K2305" s="265"/>
    </row>
    <row r="2306" spans="1:11">
      <c r="A2306" s="285" t="s">
        <v>60</v>
      </c>
      <c r="B2306" s="275">
        <f t="shared" ref="B2306:J2306" si="192">($B$1279*B$2194+$C$1279*B$2223+$D$1279*B$2243)*B$623/(24*$F$14)*1000</f>
        <v>212060.0466392352</v>
      </c>
      <c r="C2306" s="275">
        <f t="shared" si="192"/>
        <v>209303.63854519671</v>
      </c>
      <c r="D2306" s="275">
        <f t="shared" si="192"/>
        <v>208471.41731837683</v>
      </c>
      <c r="E2306" s="275">
        <f t="shared" si="192"/>
        <v>210451.04674059161</v>
      </c>
      <c r="F2306" s="275">
        <f t="shared" si="192"/>
        <v>208595.94446765797</v>
      </c>
      <c r="G2306" s="275">
        <f t="shared" si="192"/>
        <v>0</v>
      </c>
      <c r="H2306" s="275">
        <f t="shared" si="192"/>
        <v>205179.63323841881</v>
      </c>
      <c r="I2306" s="275">
        <f t="shared" si="192"/>
        <v>203028.08322352599</v>
      </c>
      <c r="J2306" s="275">
        <f t="shared" si="192"/>
        <v>200542.80536862405</v>
      </c>
      <c r="K2306" s="265"/>
    </row>
    <row r="2307" spans="1:11">
      <c r="A2307" s="285" t="s">
        <v>61</v>
      </c>
      <c r="B2307" s="275">
        <f t="shared" ref="B2307:J2307" si="193">($B$1280*B$2195+$C$1280*B$2224+$D$1280*B$2244)*B$624/(24*$F$14)*1000</f>
        <v>113992.76478486336</v>
      </c>
      <c r="C2307" s="275">
        <f t="shared" si="193"/>
        <v>113118.93283091192</v>
      </c>
      <c r="D2307" s="275">
        <f t="shared" si="193"/>
        <v>112669.15576200173</v>
      </c>
      <c r="E2307" s="275">
        <f t="shared" si="193"/>
        <v>114443.63244179505</v>
      </c>
      <c r="F2307" s="275">
        <f t="shared" si="193"/>
        <v>113434.82471214164</v>
      </c>
      <c r="G2307" s="275">
        <f t="shared" si="193"/>
        <v>0</v>
      </c>
      <c r="H2307" s="275">
        <f t="shared" si="193"/>
        <v>111577.0289316923</v>
      </c>
      <c r="I2307" s="275">
        <f t="shared" si="193"/>
        <v>110407.01242239904</v>
      </c>
      <c r="J2307" s="275">
        <f t="shared" si="193"/>
        <v>0</v>
      </c>
      <c r="K2307" s="265"/>
    </row>
    <row r="2308" spans="1:11">
      <c r="A2308" s="285" t="s">
        <v>73</v>
      </c>
      <c r="B2308" s="275">
        <f t="shared" ref="B2308:J2308" si="194">($B$1281*B$2196+$C$1281*B$2225+$D$1281*B$2245)*B$625/(24*$F$14)*1000</f>
        <v>320301.83669450536</v>
      </c>
      <c r="C2308" s="275">
        <f t="shared" si="194"/>
        <v>318591.58837174246</v>
      </c>
      <c r="D2308" s="275">
        <f t="shared" si="194"/>
        <v>317324.82261280896</v>
      </c>
      <c r="E2308" s="275">
        <f t="shared" si="194"/>
        <v>319867.73309609876</v>
      </c>
      <c r="F2308" s="275">
        <f t="shared" si="194"/>
        <v>317048.13505705388</v>
      </c>
      <c r="G2308" s="275">
        <f t="shared" si="194"/>
        <v>0</v>
      </c>
      <c r="H2308" s="275">
        <f t="shared" si="194"/>
        <v>311855.63188174559</v>
      </c>
      <c r="I2308" s="275">
        <f t="shared" si="194"/>
        <v>0</v>
      </c>
      <c r="J2308" s="275">
        <f t="shared" si="194"/>
        <v>0</v>
      </c>
      <c r="K2308" s="265"/>
    </row>
    <row r="2309" spans="1:11">
      <c r="A2309" s="285" t="s">
        <v>97</v>
      </c>
      <c r="B2309" s="275">
        <f t="shared" ref="B2309:J2309" si="195">($B$1286*B$2201+$C$1286*B$2226+$D$1286*B$2246)*B$630/(24*$F$14)*1000</f>
        <v>27786.476379848049</v>
      </c>
      <c r="C2309" s="275">
        <f t="shared" si="195"/>
        <v>25943.442520509278</v>
      </c>
      <c r="D2309" s="275">
        <f t="shared" si="195"/>
        <v>25840.287679473451</v>
      </c>
      <c r="E2309" s="275">
        <f t="shared" si="195"/>
        <v>20283.042600049303</v>
      </c>
      <c r="F2309" s="275">
        <f t="shared" si="195"/>
        <v>20104.24986410372</v>
      </c>
      <c r="G2309" s="275">
        <f t="shared" si="195"/>
        <v>0</v>
      </c>
      <c r="H2309" s="275">
        <f t="shared" si="195"/>
        <v>19774.989509874657</v>
      </c>
      <c r="I2309" s="275">
        <f t="shared" si="195"/>
        <v>19567.625463536606</v>
      </c>
      <c r="J2309" s="275">
        <f t="shared" si="195"/>
        <v>19328.097091572406</v>
      </c>
      <c r="K2309" s="265"/>
    </row>
    <row r="2310" spans="1:11">
      <c r="A2310" s="285" t="s">
        <v>64</v>
      </c>
      <c r="B2310" s="275">
        <f t="shared" ref="B2310:J2310" si="196">($B$1291*B$2202+$C$1291*B$2227+$D$1291*B$2247)*B$635/(24*$F$14)*1000</f>
        <v>-305.62885058571135</v>
      </c>
      <c r="C2310" s="275">
        <f t="shared" si="196"/>
        <v>-301.03155316497191</v>
      </c>
      <c r="D2310" s="275">
        <f t="shared" si="196"/>
        <v>-299.8346086195844</v>
      </c>
      <c r="E2310" s="275">
        <f t="shared" si="196"/>
        <v>-293.38882436964286</v>
      </c>
      <c r="F2310" s="275">
        <f t="shared" si="196"/>
        <v>-290.80263492857847</v>
      </c>
      <c r="G2310" s="275">
        <f t="shared" si="196"/>
        <v>0</v>
      </c>
      <c r="H2310" s="275">
        <f t="shared" si="196"/>
        <v>-286.03997135075008</v>
      </c>
      <c r="I2310" s="275">
        <f t="shared" si="196"/>
        <v>-283.04050549292538</v>
      </c>
      <c r="J2310" s="275">
        <f t="shared" si="196"/>
        <v>0</v>
      </c>
      <c r="K2310" s="265"/>
    </row>
    <row r="2311" spans="1:11">
      <c r="A2311" s="285" t="s">
        <v>1517</v>
      </c>
      <c r="B2311" s="275">
        <f t="shared" ref="B2311:J2311" si="197">($B$1292*B$2203+$C$1292*B$2228+$D$1292*B$2248)*B$636/(24*$F$14)*1000</f>
        <v>0</v>
      </c>
      <c r="C2311" s="275">
        <f t="shared" si="197"/>
        <v>0</v>
      </c>
      <c r="D2311" s="275">
        <f t="shared" si="197"/>
        <v>0</v>
      </c>
      <c r="E2311" s="275">
        <f t="shared" si="197"/>
        <v>0</v>
      </c>
      <c r="F2311" s="275">
        <f t="shared" si="197"/>
        <v>0</v>
      </c>
      <c r="G2311" s="275">
        <f t="shared" si="197"/>
        <v>0</v>
      </c>
      <c r="H2311" s="275">
        <f t="shared" si="197"/>
        <v>0</v>
      </c>
      <c r="I2311" s="275">
        <f t="shared" si="197"/>
        <v>0</v>
      </c>
      <c r="J2311" s="275">
        <f t="shared" si="197"/>
        <v>0</v>
      </c>
      <c r="K2311" s="265"/>
    </row>
    <row r="2312" spans="1:11">
      <c r="A2312" s="285" t="s">
        <v>66</v>
      </c>
      <c r="B2312" s="275">
        <f t="shared" ref="B2312:J2312" si="198">($B$1295*B$2204+$C$1295*B$2229+$D$1295*B$2249)*B$639/(24*$F$14)*1000</f>
        <v>-528.0737152255922</v>
      </c>
      <c r="C2312" s="275">
        <f t="shared" si="198"/>
        <v>-518.33092890324519</v>
      </c>
      <c r="D2312" s="275">
        <f t="shared" si="198"/>
        <v>-516.26997093543889</v>
      </c>
      <c r="E2312" s="275">
        <f t="shared" si="198"/>
        <v>-492.20068783494565</v>
      </c>
      <c r="F2312" s="275">
        <f t="shared" si="198"/>
        <v>-487.86199421054368</v>
      </c>
      <c r="G2312" s="275">
        <f t="shared" si="198"/>
        <v>0</v>
      </c>
      <c r="H2312" s="275">
        <f t="shared" si="198"/>
        <v>-479.87196155006262</v>
      </c>
      <c r="I2312" s="275">
        <f t="shared" si="198"/>
        <v>0</v>
      </c>
      <c r="J2312" s="275">
        <f t="shared" si="198"/>
        <v>0</v>
      </c>
      <c r="K2312" s="265"/>
    </row>
    <row r="2313" spans="1:11">
      <c r="A2313" s="285" t="s">
        <v>1519</v>
      </c>
      <c r="B2313" s="275">
        <f t="shared" ref="B2313:J2313" si="199">($B$1296*B$2205+$C$1296*B$2230+$D$1296*B$2250)*B$640/(24*$F$14)*1000</f>
        <v>0</v>
      </c>
      <c r="C2313" s="275">
        <f t="shared" si="199"/>
        <v>0</v>
      </c>
      <c r="D2313" s="275">
        <f t="shared" si="199"/>
        <v>0</v>
      </c>
      <c r="E2313" s="275">
        <f t="shared" si="199"/>
        <v>0</v>
      </c>
      <c r="F2313" s="275">
        <f t="shared" si="199"/>
        <v>0</v>
      </c>
      <c r="G2313" s="275">
        <f t="shared" si="199"/>
        <v>0</v>
      </c>
      <c r="H2313" s="275">
        <f t="shared" si="199"/>
        <v>0</v>
      </c>
      <c r="I2313" s="275">
        <f t="shared" si="199"/>
        <v>0</v>
      </c>
      <c r="J2313" s="275">
        <f t="shared" si="199"/>
        <v>0</v>
      </c>
      <c r="K2313" s="265"/>
    </row>
    <row r="2314" spans="1:11">
      <c r="A2314" s="285" t="s">
        <v>75</v>
      </c>
      <c r="B2314" s="275">
        <f t="shared" ref="B2314:J2314" si="200">($B$1299*B$2206+$C$1299*B$2231+$D$1299*B$2251)*B$643/(24*$F$14)*1000</f>
        <v>-36141.713593661611</v>
      </c>
      <c r="C2314" s="275">
        <f t="shared" si="200"/>
        <v>-34961.016687724485</v>
      </c>
      <c r="D2314" s="275">
        <f t="shared" si="200"/>
        <v>-34822.006681013852</v>
      </c>
      <c r="E2314" s="275">
        <f t="shared" si="200"/>
        <v>-32931.017390802743</v>
      </c>
      <c r="F2314" s="275">
        <f t="shared" si="200"/>
        <v>-32640.734181677155</v>
      </c>
      <c r="G2314" s="275">
        <f t="shared" si="200"/>
        <v>0</v>
      </c>
      <c r="H2314" s="275">
        <f t="shared" si="200"/>
        <v>0</v>
      </c>
      <c r="I2314" s="275">
        <f t="shared" si="200"/>
        <v>0</v>
      </c>
      <c r="J2314" s="275">
        <f t="shared" si="200"/>
        <v>0</v>
      </c>
      <c r="K2314" s="265"/>
    </row>
    <row r="2315" spans="1:11">
      <c r="A2315" s="285" t="s">
        <v>1521</v>
      </c>
      <c r="B2315" s="275">
        <f t="shared" ref="B2315:J2315" si="201">($B$1300*B$2207+$C$1300*B$2232+$D$1300*B$2252)*B$644/(24*$F$14)*1000</f>
        <v>0</v>
      </c>
      <c r="C2315" s="275">
        <f t="shared" si="201"/>
        <v>0</v>
      </c>
      <c r="D2315" s="275">
        <f t="shared" si="201"/>
        <v>0</v>
      </c>
      <c r="E2315" s="275">
        <f t="shared" si="201"/>
        <v>0</v>
      </c>
      <c r="F2315" s="275">
        <f t="shared" si="201"/>
        <v>0</v>
      </c>
      <c r="G2315" s="275">
        <f t="shared" si="201"/>
        <v>0</v>
      </c>
      <c r="H2315" s="275">
        <f t="shared" si="201"/>
        <v>0</v>
      </c>
      <c r="I2315" s="275">
        <f t="shared" si="201"/>
        <v>0</v>
      </c>
      <c r="J2315" s="275">
        <f t="shared" si="201"/>
        <v>0</v>
      </c>
      <c r="K2315" s="265"/>
    </row>
    <row r="2317" spans="1:11" ht="21" customHeight="1">
      <c r="A2317" s="1" t="s">
        <v>501</v>
      </c>
    </row>
    <row r="2318" spans="1:11">
      <c r="A2318" s="264" t="s">
        <v>217</v>
      </c>
    </row>
    <row r="2319" spans="1:11">
      <c r="A2319" s="269" t="s">
        <v>429</v>
      </c>
    </row>
    <row r="2320" spans="1:11">
      <c r="A2320" s="269" t="s">
        <v>502</v>
      </c>
    </row>
    <row r="2321" spans="1:11">
      <c r="A2321" s="269" t="s">
        <v>491</v>
      </c>
    </row>
    <row r="2322" spans="1:11">
      <c r="A2322" s="269" t="s">
        <v>408</v>
      </c>
    </row>
    <row r="2323" spans="1:11">
      <c r="A2323" s="264" t="s">
        <v>503</v>
      </c>
    </row>
    <row r="2325" spans="1:11">
      <c r="B2325" s="284" t="s">
        <v>22</v>
      </c>
      <c r="C2325" s="284" t="s">
        <v>23</v>
      </c>
      <c r="D2325" s="284" t="s">
        <v>24</v>
      </c>
      <c r="E2325" s="284" t="s">
        <v>25</v>
      </c>
      <c r="F2325" s="284" t="s">
        <v>26</v>
      </c>
      <c r="G2325" s="284" t="s">
        <v>31</v>
      </c>
      <c r="H2325" s="284" t="s">
        <v>27</v>
      </c>
      <c r="I2325" s="284" t="s">
        <v>28</v>
      </c>
      <c r="J2325" s="284" t="s">
        <v>29</v>
      </c>
    </row>
    <row r="2326" spans="1:11">
      <c r="A2326" s="285" t="s">
        <v>54</v>
      </c>
      <c r="B2326" s="275">
        <f t="shared" ref="B2326:J2341" si="202">$B1429*$B980*B612/(24*$F$14)*1000</f>
        <v>1150839.0772000395</v>
      </c>
      <c r="C2326" s="275">
        <f t="shared" si="202"/>
        <v>1148541.9932136124</v>
      </c>
      <c r="D2326" s="275">
        <f t="shared" si="202"/>
        <v>1143975.2258449697</v>
      </c>
      <c r="E2326" s="275">
        <f t="shared" si="202"/>
        <v>1137192.7640316596</v>
      </c>
      <c r="F2326" s="275">
        <f t="shared" si="202"/>
        <v>1127168.5379040544</v>
      </c>
      <c r="G2326" s="275">
        <f t="shared" si="202"/>
        <v>0</v>
      </c>
      <c r="H2326" s="275">
        <f t="shared" si="202"/>
        <v>1108708.166859383</v>
      </c>
      <c r="I2326" s="275">
        <f t="shared" si="202"/>
        <v>1097082.0564347375</v>
      </c>
      <c r="J2326" s="275">
        <f t="shared" si="202"/>
        <v>1083652.6150659504</v>
      </c>
      <c r="K2326" s="265"/>
    </row>
    <row r="2327" spans="1:11">
      <c r="A2327" s="285" t="s">
        <v>55</v>
      </c>
      <c r="B2327" s="275">
        <f t="shared" si="202"/>
        <v>205095.38665889166</v>
      </c>
      <c r="C2327" s="275">
        <f t="shared" si="202"/>
        <v>204686.01462963238</v>
      </c>
      <c r="D2327" s="275">
        <f t="shared" si="202"/>
        <v>203872.15373647283</v>
      </c>
      <c r="E2327" s="275">
        <f t="shared" si="202"/>
        <v>202663.42555226447</v>
      </c>
      <c r="F2327" s="275">
        <f t="shared" si="202"/>
        <v>200876.97028294974</v>
      </c>
      <c r="G2327" s="275">
        <f t="shared" si="202"/>
        <v>0</v>
      </c>
      <c r="H2327" s="275">
        <f t="shared" si="202"/>
        <v>197587.0777060613</v>
      </c>
      <c r="I2327" s="275">
        <f t="shared" si="202"/>
        <v>195515.14457472993</v>
      </c>
      <c r="J2327" s="275">
        <f t="shared" si="202"/>
        <v>193121.83301213905</v>
      </c>
      <c r="K2327" s="265"/>
    </row>
    <row r="2328" spans="1:11">
      <c r="A2328" s="285" t="s">
        <v>91</v>
      </c>
      <c r="B2328" s="275">
        <f t="shared" si="202"/>
        <v>0</v>
      </c>
      <c r="C2328" s="275">
        <f t="shared" si="202"/>
        <v>0</v>
      </c>
      <c r="D2328" s="275">
        <f t="shared" si="202"/>
        <v>0</v>
      </c>
      <c r="E2328" s="275">
        <f t="shared" si="202"/>
        <v>0</v>
      </c>
      <c r="F2328" s="275">
        <f t="shared" si="202"/>
        <v>0</v>
      </c>
      <c r="G2328" s="275">
        <f t="shared" si="202"/>
        <v>0</v>
      </c>
      <c r="H2328" s="275">
        <f t="shared" si="202"/>
        <v>0</v>
      </c>
      <c r="I2328" s="275">
        <f t="shared" si="202"/>
        <v>0</v>
      </c>
      <c r="J2328" s="275">
        <f t="shared" si="202"/>
        <v>0</v>
      </c>
      <c r="K2328" s="265"/>
    </row>
    <row r="2329" spans="1:11">
      <c r="A2329" s="285" t="s">
        <v>56</v>
      </c>
      <c r="B2329" s="275">
        <f t="shared" si="202"/>
        <v>232737.8743429101</v>
      </c>
      <c r="C2329" s="275">
        <f t="shared" si="202"/>
        <v>232273.327687535</v>
      </c>
      <c r="D2329" s="275">
        <f t="shared" si="202"/>
        <v>231349.77568877742</v>
      </c>
      <c r="E2329" s="275">
        <f t="shared" si="202"/>
        <v>229978.13670248026</v>
      </c>
      <c r="F2329" s="275">
        <f t="shared" si="202"/>
        <v>227950.90533095997</v>
      </c>
      <c r="G2329" s="275">
        <f t="shared" si="202"/>
        <v>0</v>
      </c>
      <c r="H2329" s="275">
        <f t="shared" si="202"/>
        <v>224217.60533999043</v>
      </c>
      <c r="I2329" s="275">
        <f t="shared" si="202"/>
        <v>221866.41977398485</v>
      </c>
      <c r="J2329" s="275">
        <f t="shared" si="202"/>
        <v>219150.54081253303</v>
      </c>
      <c r="K2329" s="265"/>
    </row>
    <row r="2330" spans="1:11">
      <c r="A2330" s="285" t="s">
        <v>57</v>
      </c>
      <c r="B2330" s="275">
        <f t="shared" si="202"/>
        <v>96209.498975965413</v>
      </c>
      <c r="C2330" s="275">
        <f t="shared" si="202"/>
        <v>96017.464047869682</v>
      </c>
      <c r="D2330" s="275">
        <f t="shared" si="202"/>
        <v>95635.68486676483</v>
      </c>
      <c r="E2330" s="275">
        <f t="shared" si="202"/>
        <v>95068.674877436162</v>
      </c>
      <c r="F2330" s="275">
        <f t="shared" si="202"/>
        <v>94230.655216420608</v>
      </c>
      <c r="G2330" s="275">
        <f t="shared" si="202"/>
        <v>0</v>
      </c>
      <c r="H2330" s="275">
        <f t="shared" si="202"/>
        <v>92687.378589562039</v>
      </c>
      <c r="I2330" s="275">
        <f t="shared" si="202"/>
        <v>91715.442303112897</v>
      </c>
      <c r="J2330" s="275">
        <f t="shared" si="202"/>
        <v>90592.748564939189</v>
      </c>
      <c r="K2330" s="265"/>
    </row>
    <row r="2331" spans="1:11">
      <c r="A2331" s="285" t="s">
        <v>92</v>
      </c>
      <c r="B2331" s="275">
        <f t="shared" si="202"/>
        <v>0</v>
      </c>
      <c r="C2331" s="275">
        <f t="shared" si="202"/>
        <v>0</v>
      </c>
      <c r="D2331" s="275">
        <f t="shared" si="202"/>
        <v>0</v>
      </c>
      <c r="E2331" s="275">
        <f t="shared" si="202"/>
        <v>0</v>
      </c>
      <c r="F2331" s="275">
        <f t="shared" si="202"/>
        <v>0</v>
      </c>
      <c r="G2331" s="275">
        <f t="shared" si="202"/>
        <v>0</v>
      </c>
      <c r="H2331" s="275">
        <f t="shared" si="202"/>
        <v>0</v>
      </c>
      <c r="I2331" s="275">
        <f t="shared" si="202"/>
        <v>0</v>
      </c>
      <c r="J2331" s="275">
        <f t="shared" si="202"/>
        <v>0</v>
      </c>
      <c r="K2331" s="265"/>
    </row>
    <row r="2332" spans="1:11">
      <c r="A2332" s="285" t="s">
        <v>58</v>
      </c>
      <c r="B2332" s="275">
        <f t="shared" si="202"/>
        <v>1.7534430925521317E-4</v>
      </c>
      <c r="C2332" s="275">
        <f t="shared" si="202"/>
        <v>1.7499432061398519E-4</v>
      </c>
      <c r="D2332" s="275">
        <f t="shared" si="202"/>
        <v>1.7429851814633511E-4</v>
      </c>
      <c r="E2332" s="275">
        <f t="shared" si="202"/>
        <v>1.7326512772254261E-4</v>
      </c>
      <c r="F2332" s="275">
        <f t="shared" si="202"/>
        <v>1.7173781513732928E-4</v>
      </c>
      <c r="G2332" s="275">
        <f t="shared" si="202"/>
        <v>0</v>
      </c>
      <c r="H2332" s="275">
        <f t="shared" si="202"/>
        <v>1.6892515342506085E-4</v>
      </c>
      <c r="I2332" s="275">
        <f t="shared" si="202"/>
        <v>1.6715377431383526E-4</v>
      </c>
      <c r="J2332" s="275">
        <f t="shared" si="202"/>
        <v>1.6510763583353405E-4</v>
      </c>
      <c r="K2332" s="265"/>
    </row>
    <row r="2333" spans="1:11">
      <c r="A2333" s="285" t="s">
        <v>59</v>
      </c>
      <c r="B2333" s="275">
        <f t="shared" si="202"/>
        <v>1.6727031945694193E-4</v>
      </c>
      <c r="C2333" s="275">
        <f t="shared" si="202"/>
        <v>1.6693644656381432E-4</v>
      </c>
      <c r="D2333" s="275">
        <f t="shared" si="202"/>
        <v>1.6627268335680113E-4</v>
      </c>
      <c r="E2333" s="275">
        <f t="shared" si="202"/>
        <v>1.6528687693373708E-4</v>
      </c>
      <c r="F2333" s="275">
        <f t="shared" si="202"/>
        <v>1.6382989173059938E-4</v>
      </c>
      <c r="G2333" s="275">
        <f t="shared" si="202"/>
        <v>0</v>
      </c>
      <c r="H2333" s="275">
        <f t="shared" si="202"/>
        <v>1.6114674321478031E-4</v>
      </c>
      <c r="I2333" s="275">
        <f t="shared" si="202"/>
        <v>1.5945692989222302E-4</v>
      </c>
      <c r="J2333" s="275">
        <f t="shared" si="202"/>
        <v>0</v>
      </c>
      <c r="K2333" s="265"/>
    </row>
    <row r="2334" spans="1:11">
      <c r="A2334" s="285" t="s">
        <v>72</v>
      </c>
      <c r="B2334" s="275">
        <f t="shared" si="202"/>
        <v>1.7275371534780301E-4</v>
      </c>
      <c r="C2334" s="275">
        <f t="shared" si="202"/>
        <v>1.7240889755269765E-4</v>
      </c>
      <c r="D2334" s="275">
        <f t="shared" si="202"/>
        <v>1.7172337509721968E-4</v>
      </c>
      <c r="E2334" s="275">
        <f t="shared" si="202"/>
        <v>1.7070525231996348E-4</v>
      </c>
      <c r="F2334" s="275">
        <f t="shared" si="202"/>
        <v>1.6920050474809311E-4</v>
      </c>
      <c r="G2334" s="275">
        <f t="shared" si="202"/>
        <v>0</v>
      </c>
      <c r="H2334" s="275">
        <f t="shared" si="202"/>
        <v>1.6642939821560985E-4</v>
      </c>
      <c r="I2334" s="275">
        <f t="shared" si="202"/>
        <v>0</v>
      </c>
      <c r="J2334" s="275">
        <f t="shared" si="202"/>
        <v>0</v>
      </c>
      <c r="K2334" s="265"/>
    </row>
    <row r="2335" spans="1:11">
      <c r="A2335" s="285" t="s">
        <v>1178</v>
      </c>
      <c r="B2335" s="275">
        <f t="shared" si="202"/>
        <v>3.3619396065384402E-2</v>
      </c>
      <c r="C2335" s="275">
        <f t="shared" si="202"/>
        <v>3.3552291482419561E-2</v>
      </c>
      <c r="D2335" s="275">
        <f t="shared" si="202"/>
        <v>3.3418882768771765E-2</v>
      </c>
      <c r="E2335" s="275">
        <f t="shared" si="202"/>
        <v>3.3220747100182212E-2</v>
      </c>
      <c r="F2335" s="275">
        <f t="shared" si="202"/>
        <v>3.2927909956302057E-2</v>
      </c>
      <c r="G2335" s="275">
        <f t="shared" si="202"/>
        <v>0</v>
      </c>
      <c r="H2335" s="275">
        <f t="shared" si="202"/>
        <v>3.2388628194011941E-2</v>
      </c>
      <c r="I2335" s="275">
        <f t="shared" si="202"/>
        <v>3.2048995295885986E-2</v>
      </c>
      <c r="J2335" s="275">
        <f t="shared" si="202"/>
        <v>3.1656681794147268E-2</v>
      </c>
      <c r="K2335" s="265"/>
    </row>
    <row r="2336" spans="1:11">
      <c r="A2336" s="285" t="s">
        <v>1177</v>
      </c>
      <c r="B2336" s="275">
        <f t="shared" si="202"/>
        <v>79987.700676255379</v>
      </c>
      <c r="C2336" s="275">
        <f t="shared" si="202"/>
        <v>79828.044587081211</v>
      </c>
      <c r="D2336" s="275">
        <f t="shared" si="202"/>
        <v>79510.636855124627</v>
      </c>
      <c r="E2336" s="275">
        <f t="shared" si="202"/>
        <v>79039.229917248391</v>
      </c>
      <c r="F2336" s="275">
        <f t="shared" si="202"/>
        <v>78342.508008085584</v>
      </c>
      <c r="G2336" s="275">
        <f t="shared" si="202"/>
        <v>0</v>
      </c>
      <c r="H2336" s="275">
        <f t="shared" si="202"/>
        <v>77059.441884639091</v>
      </c>
      <c r="I2336" s="275">
        <f t="shared" si="202"/>
        <v>76251.382913494162</v>
      </c>
      <c r="J2336" s="275">
        <f t="shared" si="202"/>
        <v>75317.985570861929</v>
      </c>
      <c r="K2336" s="265"/>
    </row>
    <row r="2337" spans="1:11">
      <c r="A2337" s="285" t="s">
        <v>60</v>
      </c>
      <c r="B2337" s="275">
        <f t="shared" si="202"/>
        <v>212060.04663923517</v>
      </c>
      <c r="C2337" s="275">
        <f t="shared" si="202"/>
        <v>211636.77309304907</v>
      </c>
      <c r="D2337" s="275">
        <f t="shared" si="202"/>
        <v>210795.27498929936</v>
      </c>
      <c r="E2337" s="275">
        <f t="shared" si="202"/>
        <v>209545.50063165528</v>
      </c>
      <c r="F2337" s="275">
        <f t="shared" si="202"/>
        <v>207698.38064567599</v>
      </c>
      <c r="G2337" s="275">
        <f t="shared" si="202"/>
        <v>0</v>
      </c>
      <c r="H2337" s="275">
        <f t="shared" si="202"/>
        <v>204296.76940196063</v>
      </c>
      <c r="I2337" s="275">
        <f t="shared" si="202"/>
        <v>202154.47725379906</v>
      </c>
      <c r="J2337" s="275">
        <f t="shared" si="202"/>
        <v>199679.89325728358</v>
      </c>
      <c r="K2337" s="265"/>
    </row>
    <row r="2338" spans="1:11">
      <c r="A2338" s="285" t="s">
        <v>61</v>
      </c>
      <c r="B2338" s="275">
        <f t="shared" si="202"/>
        <v>113992.76478486336</v>
      </c>
      <c r="C2338" s="275">
        <f t="shared" si="202"/>
        <v>113765.23431623091</v>
      </c>
      <c r="D2338" s="275">
        <f t="shared" si="202"/>
        <v>113312.88746010275</v>
      </c>
      <c r="E2338" s="275">
        <f t="shared" si="202"/>
        <v>112641.07192180175</v>
      </c>
      <c r="F2338" s="275">
        <f t="shared" si="202"/>
        <v>111648.15356010126</v>
      </c>
      <c r="G2338" s="275">
        <f t="shared" si="202"/>
        <v>0</v>
      </c>
      <c r="H2338" s="275">
        <f t="shared" si="202"/>
        <v>109819.61925324025</v>
      </c>
      <c r="I2338" s="275">
        <f t="shared" si="202"/>
        <v>108668.0312534446</v>
      </c>
      <c r="J2338" s="275">
        <f t="shared" si="202"/>
        <v>0</v>
      </c>
      <c r="K2338" s="265"/>
    </row>
    <row r="2339" spans="1:11">
      <c r="A2339" s="285" t="s">
        <v>73</v>
      </c>
      <c r="B2339" s="275">
        <f t="shared" si="202"/>
        <v>320301.83669450524</v>
      </c>
      <c r="C2339" s="275">
        <f t="shared" si="202"/>
        <v>319662.51167116291</v>
      </c>
      <c r="D2339" s="275">
        <f t="shared" si="202"/>
        <v>318391.48776789784</v>
      </c>
      <c r="E2339" s="275">
        <f t="shared" si="202"/>
        <v>316503.79120010405</v>
      </c>
      <c r="F2339" s="275">
        <f t="shared" si="202"/>
        <v>313713.8459299758</v>
      </c>
      <c r="G2339" s="275">
        <f t="shared" si="202"/>
        <v>0</v>
      </c>
      <c r="H2339" s="275">
        <f t="shared" si="202"/>
        <v>308575.9505727411</v>
      </c>
      <c r="I2339" s="275">
        <f t="shared" si="202"/>
        <v>0</v>
      </c>
      <c r="J2339" s="275">
        <f t="shared" si="202"/>
        <v>0</v>
      </c>
      <c r="K2339" s="265"/>
    </row>
    <row r="2340" spans="1:11">
      <c r="A2340" s="285" t="s">
        <v>93</v>
      </c>
      <c r="B2340" s="275">
        <f t="shared" si="202"/>
        <v>1238.5970618361835</v>
      </c>
      <c r="C2340" s="275">
        <f t="shared" si="202"/>
        <v>1236.1248122117602</v>
      </c>
      <c r="D2340" s="275">
        <f t="shared" si="202"/>
        <v>1231.209803018075</v>
      </c>
      <c r="E2340" s="275">
        <f t="shared" si="202"/>
        <v>1223.9101401543314</v>
      </c>
      <c r="F2340" s="275">
        <f t="shared" si="202"/>
        <v>1213.1215101235885</v>
      </c>
      <c r="G2340" s="275">
        <f t="shared" si="202"/>
        <v>0</v>
      </c>
      <c r="H2340" s="275">
        <f t="shared" si="202"/>
        <v>1193.2534314414099</v>
      </c>
      <c r="I2340" s="275">
        <f t="shared" si="202"/>
        <v>1180.7407643814909</v>
      </c>
      <c r="J2340" s="275">
        <f t="shared" si="202"/>
        <v>1166.2872521997963</v>
      </c>
      <c r="K2340" s="265"/>
    </row>
    <row r="2341" spans="1:11">
      <c r="A2341" s="285" t="s">
        <v>94</v>
      </c>
      <c r="B2341" s="275">
        <f t="shared" si="202"/>
        <v>1977.7707014058826</v>
      </c>
      <c r="C2341" s="275">
        <f t="shared" si="202"/>
        <v>1973.8230552952916</v>
      </c>
      <c r="D2341" s="275">
        <f t="shared" si="202"/>
        <v>1965.9748522921295</v>
      </c>
      <c r="E2341" s="275">
        <f t="shared" si="202"/>
        <v>1954.318874906998</v>
      </c>
      <c r="F2341" s="275">
        <f t="shared" si="202"/>
        <v>1937.0917741487585</v>
      </c>
      <c r="G2341" s="275">
        <f t="shared" si="202"/>
        <v>0</v>
      </c>
      <c r="H2341" s="275">
        <f t="shared" si="202"/>
        <v>1905.3667643601948</v>
      </c>
      <c r="I2341" s="275">
        <f t="shared" si="202"/>
        <v>1885.3867506252454</v>
      </c>
      <c r="J2341" s="275">
        <f t="shared" si="202"/>
        <v>1862.3076284424503</v>
      </c>
      <c r="K2341" s="265"/>
    </row>
    <row r="2342" spans="1:11">
      <c r="A2342" s="285" t="s">
        <v>95</v>
      </c>
      <c r="B2342" s="275">
        <f t="shared" ref="B2342:J2357" si="203">$B1445*$B996*B628/(24*$F$14)*1000</f>
        <v>430.57478692696418</v>
      </c>
      <c r="C2342" s="275">
        <f t="shared" si="203"/>
        <v>429.71535621453512</v>
      </c>
      <c r="D2342" s="275">
        <f t="shared" si="203"/>
        <v>428.0067464482745</v>
      </c>
      <c r="E2342" s="275">
        <f t="shared" si="203"/>
        <v>425.4691570424547</v>
      </c>
      <c r="F2342" s="275">
        <f t="shared" si="203"/>
        <v>421.71869434570442</v>
      </c>
      <c r="G2342" s="275">
        <f t="shared" si="203"/>
        <v>0</v>
      </c>
      <c r="H2342" s="275">
        <f t="shared" si="203"/>
        <v>414.81193345564947</v>
      </c>
      <c r="I2342" s="275">
        <f t="shared" si="203"/>
        <v>410.462141970414</v>
      </c>
      <c r="J2342" s="275">
        <f t="shared" si="203"/>
        <v>405.43765247360091</v>
      </c>
      <c r="K2342" s="265"/>
    </row>
    <row r="2343" spans="1:11">
      <c r="A2343" s="285" t="s">
        <v>96</v>
      </c>
      <c r="B2343" s="275">
        <f t="shared" si="203"/>
        <v>0</v>
      </c>
      <c r="C2343" s="275">
        <f t="shared" si="203"/>
        <v>0</v>
      </c>
      <c r="D2343" s="275">
        <f t="shared" si="203"/>
        <v>0</v>
      </c>
      <c r="E2343" s="275">
        <f t="shared" si="203"/>
        <v>0</v>
      </c>
      <c r="F2343" s="275">
        <f t="shared" si="203"/>
        <v>0</v>
      </c>
      <c r="G2343" s="275">
        <f t="shared" si="203"/>
        <v>0</v>
      </c>
      <c r="H2343" s="275">
        <f t="shared" si="203"/>
        <v>0</v>
      </c>
      <c r="I2343" s="275">
        <f t="shared" si="203"/>
        <v>0</v>
      </c>
      <c r="J2343" s="275">
        <f t="shared" si="203"/>
        <v>0</v>
      </c>
      <c r="K2343" s="265"/>
    </row>
    <row r="2344" spans="1:11">
      <c r="A2344" s="285" t="s">
        <v>97</v>
      </c>
      <c r="B2344" s="275">
        <f t="shared" si="203"/>
        <v>29331.737886110888</v>
      </c>
      <c r="C2344" s="275">
        <f t="shared" si="203"/>
        <v>29273.191503104681</v>
      </c>
      <c r="D2344" s="275">
        <f t="shared" si="203"/>
        <v>29156.797103489949</v>
      </c>
      <c r="E2344" s="275">
        <f t="shared" si="203"/>
        <v>28983.930717500876</v>
      </c>
      <c r="F2344" s="275">
        <f t="shared" si="203"/>
        <v>28728.440632821643</v>
      </c>
      <c r="G2344" s="275">
        <f t="shared" si="203"/>
        <v>0</v>
      </c>
      <c r="H2344" s="275">
        <f t="shared" si="203"/>
        <v>28257.936306465206</v>
      </c>
      <c r="I2344" s="275">
        <f t="shared" si="203"/>
        <v>27961.618575892178</v>
      </c>
      <c r="J2344" s="275">
        <f t="shared" si="203"/>
        <v>27619.33887581063</v>
      </c>
      <c r="K2344" s="265"/>
    </row>
    <row r="2345" spans="1:11">
      <c r="A2345" s="285" t="s">
        <v>1176</v>
      </c>
      <c r="B2345" s="275">
        <f t="shared" si="203"/>
        <v>-405.84569414865376</v>
      </c>
      <c r="C2345" s="275">
        <f t="shared" si="203"/>
        <v>-405.03562290284799</v>
      </c>
      <c r="D2345" s="275">
        <f t="shared" si="203"/>
        <v>-403.4251432889202</v>
      </c>
      <c r="E2345" s="275">
        <f t="shared" si="203"/>
        <v>-401.03329461329417</v>
      </c>
      <c r="F2345" s="275">
        <f t="shared" si="203"/>
        <v>-397.49823129153162</v>
      </c>
      <c r="G2345" s="275">
        <f t="shared" si="203"/>
        <v>0</v>
      </c>
      <c r="H2345" s="275">
        <f t="shared" si="203"/>
        <v>-390.98814465188218</v>
      </c>
      <c r="I2345" s="275">
        <f t="shared" si="203"/>
        <v>-386.88817364028012</v>
      </c>
      <c r="J2345" s="275">
        <f t="shared" si="203"/>
        <v>0</v>
      </c>
      <c r="K2345" s="265"/>
    </row>
    <row r="2346" spans="1:11">
      <c r="A2346" s="285" t="s">
        <v>62</v>
      </c>
      <c r="B2346" s="275">
        <f t="shared" si="203"/>
        <v>-11.025859003013302</v>
      </c>
      <c r="C2346" s="275">
        <f t="shared" si="203"/>
        <v>-11.003851300412478</v>
      </c>
      <c r="D2346" s="275">
        <f t="shared" si="203"/>
        <v>-10.960098412538073</v>
      </c>
      <c r="E2346" s="275">
        <f t="shared" si="203"/>
        <v>-10.895117591910378</v>
      </c>
      <c r="F2346" s="275">
        <f t="shared" si="203"/>
        <v>-10.799078357505685</v>
      </c>
      <c r="G2346" s="275">
        <f t="shared" si="203"/>
        <v>0</v>
      </c>
      <c r="H2346" s="275">
        <f t="shared" si="203"/>
        <v>-10.622214839126496</v>
      </c>
      <c r="I2346" s="275">
        <f t="shared" si="203"/>
        <v>0</v>
      </c>
      <c r="J2346" s="275">
        <f t="shared" si="203"/>
        <v>0</v>
      </c>
      <c r="K2346" s="265"/>
    </row>
    <row r="2347" spans="1:11">
      <c r="A2347" s="285" t="s">
        <v>63</v>
      </c>
      <c r="B2347" s="275">
        <f t="shared" si="203"/>
        <v>-9660.7561609358254</v>
      </c>
      <c r="C2347" s="275">
        <f t="shared" si="203"/>
        <v>-9641.4732145068119</v>
      </c>
      <c r="D2347" s="275">
        <f t="shared" si="203"/>
        <v>-9603.1373369143403</v>
      </c>
      <c r="E2347" s="275">
        <f t="shared" si="203"/>
        <v>-9546.2017400551613</v>
      </c>
      <c r="F2347" s="275">
        <f t="shared" si="203"/>
        <v>-9462.053046949879</v>
      </c>
      <c r="G2347" s="275">
        <f t="shared" si="203"/>
        <v>0</v>
      </c>
      <c r="H2347" s="275">
        <f t="shared" si="203"/>
        <v>-9307.0868602464616</v>
      </c>
      <c r="I2347" s="275">
        <f t="shared" si="203"/>
        <v>-9209.4910971742884</v>
      </c>
      <c r="J2347" s="275">
        <f t="shared" si="203"/>
        <v>0</v>
      </c>
      <c r="K2347" s="265"/>
    </row>
    <row r="2348" spans="1:11">
      <c r="A2348" s="285" t="s">
        <v>1516</v>
      </c>
      <c r="B2348" s="275">
        <f t="shared" si="203"/>
        <v>0</v>
      </c>
      <c r="C2348" s="275">
        <f t="shared" si="203"/>
        <v>0</v>
      </c>
      <c r="D2348" s="275">
        <f t="shared" si="203"/>
        <v>0</v>
      </c>
      <c r="E2348" s="275">
        <f t="shared" si="203"/>
        <v>0</v>
      </c>
      <c r="F2348" s="275">
        <f t="shared" si="203"/>
        <v>0</v>
      </c>
      <c r="G2348" s="275">
        <f t="shared" si="203"/>
        <v>0</v>
      </c>
      <c r="H2348" s="275">
        <f t="shared" si="203"/>
        <v>0</v>
      </c>
      <c r="I2348" s="275">
        <f t="shared" si="203"/>
        <v>0</v>
      </c>
      <c r="J2348" s="275">
        <f t="shared" si="203"/>
        <v>0</v>
      </c>
      <c r="K2348" s="265"/>
    </row>
    <row r="2349" spans="1:11">
      <c r="A2349" s="285" t="s">
        <v>64</v>
      </c>
      <c r="B2349" s="275">
        <f t="shared" si="203"/>
        <v>-278.7409810593727</v>
      </c>
      <c r="C2349" s="275">
        <f t="shared" si="203"/>
        <v>-278.18461183570128</v>
      </c>
      <c r="D2349" s="275">
        <f t="shared" si="203"/>
        <v>-277.07850999937637</v>
      </c>
      <c r="E2349" s="275">
        <f t="shared" si="203"/>
        <v>-275.43575203495317</v>
      </c>
      <c r="F2349" s="275">
        <f t="shared" si="203"/>
        <v>-273.00781690438077</v>
      </c>
      <c r="G2349" s="275">
        <f t="shared" si="203"/>
        <v>0</v>
      </c>
      <c r="H2349" s="275">
        <f t="shared" si="203"/>
        <v>-268.53659061596591</v>
      </c>
      <c r="I2349" s="275">
        <f t="shared" si="203"/>
        <v>-265.72066831208076</v>
      </c>
      <c r="J2349" s="275">
        <f t="shared" si="203"/>
        <v>0</v>
      </c>
      <c r="K2349" s="265"/>
    </row>
    <row r="2350" spans="1:11">
      <c r="A2350" s="285" t="s">
        <v>1517</v>
      </c>
      <c r="B2350" s="275">
        <f t="shared" si="203"/>
        <v>0</v>
      </c>
      <c r="C2350" s="275">
        <f t="shared" si="203"/>
        <v>0</v>
      </c>
      <c r="D2350" s="275">
        <f t="shared" si="203"/>
        <v>0</v>
      </c>
      <c r="E2350" s="275">
        <f t="shared" si="203"/>
        <v>0</v>
      </c>
      <c r="F2350" s="275">
        <f t="shared" si="203"/>
        <v>0</v>
      </c>
      <c r="G2350" s="275">
        <f t="shared" si="203"/>
        <v>0</v>
      </c>
      <c r="H2350" s="275">
        <f t="shared" si="203"/>
        <v>0</v>
      </c>
      <c r="I2350" s="275">
        <f t="shared" si="203"/>
        <v>0</v>
      </c>
      <c r="J2350" s="275">
        <f t="shared" si="203"/>
        <v>0</v>
      </c>
      <c r="K2350" s="265"/>
    </row>
    <row r="2351" spans="1:11">
      <c r="A2351" s="285" t="s">
        <v>65</v>
      </c>
      <c r="B2351" s="275">
        <f t="shared" si="203"/>
        <v>-1561.6140399496799</v>
      </c>
      <c r="C2351" s="275">
        <f t="shared" si="203"/>
        <v>-1558.4970458579642</v>
      </c>
      <c r="D2351" s="275">
        <f t="shared" si="203"/>
        <v>-1552.3002385185684</v>
      </c>
      <c r="E2351" s="275">
        <f t="shared" si="203"/>
        <v>-1543.0968774206324</v>
      </c>
      <c r="F2351" s="275">
        <f t="shared" si="203"/>
        <v>-1529.4946522523803</v>
      </c>
      <c r="G2351" s="275">
        <f t="shared" si="203"/>
        <v>0</v>
      </c>
      <c r="H2351" s="275">
        <f t="shared" si="203"/>
        <v>-1504.4451251923701</v>
      </c>
      <c r="I2351" s="275">
        <f t="shared" si="203"/>
        <v>0</v>
      </c>
      <c r="J2351" s="275">
        <f t="shared" si="203"/>
        <v>0</v>
      </c>
      <c r="K2351" s="265"/>
    </row>
    <row r="2352" spans="1:11">
      <c r="A2352" s="285" t="s">
        <v>1518</v>
      </c>
      <c r="B2352" s="275">
        <f t="shared" si="203"/>
        <v>0</v>
      </c>
      <c r="C2352" s="275">
        <f t="shared" si="203"/>
        <v>0</v>
      </c>
      <c r="D2352" s="275">
        <f t="shared" si="203"/>
        <v>0</v>
      </c>
      <c r="E2352" s="275">
        <f t="shared" si="203"/>
        <v>0</v>
      </c>
      <c r="F2352" s="275">
        <f t="shared" si="203"/>
        <v>0</v>
      </c>
      <c r="G2352" s="275">
        <f t="shared" si="203"/>
        <v>0</v>
      </c>
      <c r="H2352" s="275">
        <f t="shared" si="203"/>
        <v>0</v>
      </c>
      <c r="I2352" s="275">
        <f t="shared" si="203"/>
        <v>0</v>
      </c>
      <c r="J2352" s="275">
        <f t="shared" si="203"/>
        <v>0</v>
      </c>
      <c r="K2352" s="265"/>
    </row>
    <row r="2353" spans="1:11">
      <c r="A2353" s="285" t="s">
        <v>66</v>
      </c>
      <c r="B2353" s="275">
        <f t="shared" si="203"/>
        <v>-490.12990249113079</v>
      </c>
      <c r="C2353" s="275">
        <f t="shared" si="203"/>
        <v>-489.15159929254582</v>
      </c>
      <c r="D2353" s="275">
        <f t="shared" si="203"/>
        <v>-487.20666251603456</v>
      </c>
      <c r="E2353" s="275">
        <f t="shared" si="203"/>
        <v>-484.3180854655443</v>
      </c>
      <c r="F2353" s="275">
        <f t="shared" si="203"/>
        <v>-480.04887609317421</v>
      </c>
      <c r="G2353" s="275">
        <f t="shared" si="203"/>
        <v>0</v>
      </c>
      <c r="H2353" s="275">
        <f t="shared" si="203"/>
        <v>-472.18680394135919</v>
      </c>
      <c r="I2353" s="275">
        <f t="shared" si="203"/>
        <v>0</v>
      </c>
      <c r="J2353" s="275">
        <f t="shared" si="203"/>
        <v>0</v>
      </c>
      <c r="K2353" s="265"/>
    </row>
    <row r="2354" spans="1:11">
      <c r="A2354" s="285" t="s">
        <v>1519</v>
      </c>
      <c r="B2354" s="275">
        <f t="shared" si="203"/>
        <v>0</v>
      </c>
      <c r="C2354" s="275">
        <f t="shared" si="203"/>
        <v>0</v>
      </c>
      <c r="D2354" s="275">
        <f t="shared" si="203"/>
        <v>0</v>
      </c>
      <c r="E2354" s="275">
        <f t="shared" si="203"/>
        <v>0</v>
      </c>
      <c r="F2354" s="275">
        <f t="shared" si="203"/>
        <v>0</v>
      </c>
      <c r="G2354" s="275">
        <f t="shared" si="203"/>
        <v>0</v>
      </c>
      <c r="H2354" s="275">
        <f t="shared" si="203"/>
        <v>0</v>
      </c>
      <c r="I2354" s="275">
        <f t="shared" si="203"/>
        <v>0</v>
      </c>
      <c r="J2354" s="275">
        <f t="shared" si="203"/>
        <v>0</v>
      </c>
      <c r="K2354" s="265"/>
    </row>
    <row r="2355" spans="1:11">
      <c r="A2355" s="285" t="s">
        <v>74</v>
      </c>
      <c r="B2355" s="275">
        <f t="shared" si="203"/>
        <v>-48443.264883192554</v>
      </c>
      <c r="C2355" s="275">
        <f t="shared" si="203"/>
        <v>-48346.57173971313</v>
      </c>
      <c r="D2355" s="275">
        <f t="shared" si="203"/>
        <v>-48154.338850091997</v>
      </c>
      <c r="E2355" s="275">
        <f t="shared" si="203"/>
        <v>-47868.838817383948</v>
      </c>
      <c r="F2355" s="275">
        <f t="shared" si="203"/>
        <v>-47446.880394899665</v>
      </c>
      <c r="G2355" s="275">
        <f t="shared" si="203"/>
        <v>0</v>
      </c>
      <c r="H2355" s="275">
        <f t="shared" si="203"/>
        <v>0</v>
      </c>
      <c r="I2355" s="275">
        <f t="shared" si="203"/>
        <v>0</v>
      </c>
      <c r="J2355" s="275">
        <f t="shared" si="203"/>
        <v>0</v>
      </c>
      <c r="K2355" s="265"/>
    </row>
    <row r="2356" spans="1:11">
      <c r="A2356" s="285" t="s">
        <v>1520</v>
      </c>
      <c r="B2356" s="275">
        <f t="shared" si="203"/>
        <v>0</v>
      </c>
      <c r="C2356" s="275">
        <f t="shared" si="203"/>
        <v>0</v>
      </c>
      <c r="D2356" s="275">
        <f t="shared" si="203"/>
        <v>0</v>
      </c>
      <c r="E2356" s="275">
        <f t="shared" si="203"/>
        <v>0</v>
      </c>
      <c r="F2356" s="275">
        <f t="shared" si="203"/>
        <v>0</v>
      </c>
      <c r="G2356" s="275">
        <f t="shared" si="203"/>
        <v>0</v>
      </c>
      <c r="H2356" s="275">
        <f t="shared" si="203"/>
        <v>0</v>
      </c>
      <c r="I2356" s="275">
        <f t="shared" si="203"/>
        <v>0</v>
      </c>
      <c r="J2356" s="275">
        <f t="shared" si="203"/>
        <v>0</v>
      </c>
      <c r="K2356" s="265"/>
    </row>
    <row r="2357" spans="1:11">
      <c r="A2357" s="285" t="s">
        <v>75</v>
      </c>
      <c r="B2357" s="275">
        <f t="shared" si="203"/>
        <v>-29403.051643039194</v>
      </c>
      <c r="C2357" s="275">
        <f t="shared" si="203"/>
        <v>-29344.362917204788</v>
      </c>
      <c r="D2357" s="275">
        <f t="shared" si="203"/>
        <v>-29227.685529860031</v>
      </c>
      <c r="E2357" s="275">
        <f t="shared" si="203"/>
        <v>-29054.398856758096</v>
      </c>
      <c r="F2357" s="275">
        <f t="shared" si="203"/>
        <v>-28798.287603368462</v>
      </c>
      <c r="G2357" s="275">
        <f t="shared" si="203"/>
        <v>0</v>
      </c>
      <c r="H2357" s="275">
        <f t="shared" si="203"/>
        <v>0</v>
      </c>
      <c r="I2357" s="275">
        <f t="shared" si="203"/>
        <v>0</v>
      </c>
      <c r="J2357" s="275">
        <f t="shared" si="203"/>
        <v>0</v>
      </c>
      <c r="K2357" s="265"/>
    </row>
    <row r="2358" spans="1:11">
      <c r="A2358" s="285" t="s">
        <v>1521</v>
      </c>
      <c r="B2358" s="275">
        <f t="shared" ref="B2358:J2358" si="204">$B1461*$B1012*B644/(24*$F$14)*1000</f>
        <v>0</v>
      </c>
      <c r="C2358" s="275">
        <f t="shared" si="204"/>
        <v>0</v>
      </c>
      <c r="D2358" s="275">
        <f t="shared" si="204"/>
        <v>0</v>
      </c>
      <c r="E2358" s="275">
        <f t="shared" si="204"/>
        <v>0</v>
      </c>
      <c r="F2358" s="275">
        <f t="shared" si="204"/>
        <v>0</v>
      </c>
      <c r="G2358" s="275">
        <f t="shared" si="204"/>
        <v>0</v>
      </c>
      <c r="H2358" s="275">
        <f t="shared" si="204"/>
        <v>0</v>
      </c>
      <c r="I2358" s="275">
        <f t="shared" si="204"/>
        <v>0</v>
      </c>
      <c r="J2358" s="275">
        <f t="shared" si="204"/>
        <v>0</v>
      </c>
      <c r="K2358" s="265"/>
    </row>
    <row r="2360" spans="1:11" ht="21" customHeight="1">
      <c r="A2360" s="1" t="s">
        <v>504</v>
      </c>
    </row>
    <row r="2361" spans="1:11">
      <c r="A2361" s="264" t="s">
        <v>217</v>
      </c>
    </row>
    <row r="2362" spans="1:11">
      <c r="A2362" s="269" t="s">
        <v>505</v>
      </c>
    </row>
    <row r="2363" spans="1:11">
      <c r="A2363" s="269" t="s">
        <v>506</v>
      </c>
    </row>
    <row r="2364" spans="1:11">
      <c r="A2364" s="269" t="s">
        <v>507</v>
      </c>
    </row>
    <row r="2365" spans="1:11">
      <c r="A2365" s="269" t="s">
        <v>508</v>
      </c>
    </row>
    <row r="2366" spans="1:11">
      <c r="A2366" s="264" t="s">
        <v>509</v>
      </c>
    </row>
    <row r="2368" spans="1:11">
      <c r="B2368" s="284" t="s">
        <v>22</v>
      </c>
      <c r="C2368" s="284" t="s">
        <v>23</v>
      </c>
      <c r="D2368" s="284" t="s">
        <v>24</v>
      </c>
      <c r="E2368" s="284" t="s">
        <v>25</v>
      </c>
      <c r="F2368" s="284" t="s">
        <v>26</v>
      </c>
      <c r="G2368" s="284" t="s">
        <v>31</v>
      </c>
      <c r="H2368" s="284" t="s">
        <v>27</v>
      </c>
      <c r="I2368" s="284" t="s">
        <v>28</v>
      </c>
      <c r="J2368" s="284" t="s">
        <v>29</v>
      </c>
    </row>
    <row r="2369" spans="1:11">
      <c r="A2369" s="285" t="s">
        <v>54</v>
      </c>
      <c r="B2369" s="276">
        <f t="shared" ref="B2369:J2369" si="205">B$2265</f>
        <v>1150839.049350671</v>
      </c>
      <c r="C2369" s="276">
        <f t="shared" si="205"/>
        <v>1092910.8388016631</v>
      </c>
      <c r="D2369" s="276">
        <f t="shared" si="205"/>
        <v>1088565.2688660703</v>
      </c>
      <c r="E2369" s="276">
        <f t="shared" si="205"/>
        <v>1018505.4532312701</v>
      </c>
      <c r="F2369" s="276">
        <f t="shared" si="205"/>
        <v>1009527.4423800643</v>
      </c>
      <c r="G2369" s="276">
        <f t="shared" si="205"/>
        <v>0</v>
      </c>
      <c r="H2369" s="276">
        <f t="shared" si="205"/>
        <v>992993.75594416703</v>
      </c>
      <c r="I2369" s="276">
        <f t="shared" si="205"/>
        <v>982581.04734990047</v>
      </c>
      <c r="J2369" s="276">
        <f t="shared" si="205"/>
        <v>970553.21908667183</v>
      </c>
      <c r="K2369" s="265"/>
    </row>
    <row r="2370" spans="1:11">
      <c r="A2370" s="285" t="s">
        <v>55</v>
      </c>
      <c r="B2370" s="276">
        <f t="shared" ref="B2370:J2370" si="206">B$2285</f>
        <v>205095.38169575037</v>
      </c>
      <c r="C2370" s="276">
        <f t="shared" si="206"/>
        <v>206770.44610180895</v>
      </c>
      <c r="D2370" s="276">
        <f t="shared" si="206"/>
        <v>205948.29721074807</v>
      </c>
      <c r="E2370" s="276">
        <f t="shared" si="206"/>
        <v>197399.47003675156</v>
      </c>
      <c r="F2370" s="276">
        <f t="shared" si="206"/>
        <v>195659.41594240218</v>
      </c>
      <c r="G2370" s="276">
        <f t="shared" si="206"/>
        <v>0</v>
      </c>
      <c r="H2370" s="276">
        <f t="shared" si="206"/>
        <v>192454.97464084061</v>
      </c>
      <c r="I2370" s="276">
        <f t="shared" si="206"/>
        <v>190436.85765223319</v>
      </c>
      <c r="J2370" s="276">
        <f t="shared" si="206"/>
        <v>188105.7096772058</v>
      </c>
      <c r="K2370" s="265"/>
    </row>
    <row r="2371" spans="1:11">
      <c r="A2371" s="285" t="s">
        <v>91</v>
      </c>
      <c r="B2371" s="276">
        <f t="shared" ref="B2371:J2371" si="207">B$2266</f>
        <v>125.92638346354479</v>
      </c>
      <c r="C2371" s="276">
        <f t="shared" si="207"/>
        <v>838.2039711476956</v>
      </c>
      <c r="D2371" s="276">
        <f t="shared" si="207"/>
        <v>834.8711521769294</v>
      </c>
      <c r="E2371" s="276">
        <f t="shared" si="207"/>
        <v>1327.7286283250833</v>
      </c>
      <c r="F2371" s="276">
        <f t="shared" si="207"/>
        <v>1316.0248500146765</v>
      </c>
      <c r="G2371" s="276">
        <f t="shared" si="207"/>
        <v>0</v>
      </c>
      <c r="H2371" s="276">
        <f t="shared" si="207"/>
        <v>1294.471456517326</v>
      </c>
      <c r="I2371" s="276">
        <f t="shared" si="207"/>
        <v>1280.8973992993181</v>
      </c>
      <c r="J2371" s="276">
        <f t="shared" si="207"/>
        <v>1265.2178642796464</v>
      </c>
      <c r="K2371" s="265"/>
    </row>
    <row r="2372" spans="1:11">
      <c r="A2372" s="285" t="s">
        <v>56</v>
      </c>
      <c r="B2372" s="276">
        <f t="shared" ref="B2372:J2372" si="208">B$2267</f>
        <v>230831.36646273715</v>
      </c>
      <c r="C2372" s="276">
        <f t="shared" si="208"/>
        <v>232746.76281315886</v>
      </c>
      <c r="D2372" s="276">
        <f t="shared" si="208"/>
        <v>231821.32836857374</v>
      </c>
      <c r="E2372" s="276">
        <f t="shared" si="208"/>
        <v>247335.08143398204</v>
      </c>
      <c r="F2372" s="276">
        <f t="shared" si="208"/>
        <v>245154.85054964726</v>
      </c>
      <c r="G2372" s="276">
        <f t="shared" si="208"/>
        <v>0</v>
      </c>
      <c r="H2372" s="276">
        <f t="shared" si="208"/>
        <v>241139.7903768688</v>
      </c>
      <c r="I2372" s="276">
        <f t="shared" si="208"/>
        <v>238611.15577806471</v>
      </c>
      <c r="J2372" s="276">
        <f t="shared" si="208"/>
        <v>235690.30358869096</v>
      </c>
      <c r="K2372" s="265"/>
    </row>
    <row r="2373" spans="1:11">
      <c r="A2373" s="285" t="s">
        <v>57</v>
      </c>
      <c r="B2373" s="276">
        <f t="shared" ref="B2373:J2373" si="209">B$2286</f>
        <v>95421.384155964464</v>
      </c>
      <c r="C2373" s="276">
        <f t="shared" si="209"/>
        <v>96933.659711983593</v>
      </c>
      <c r="D2373" s="276">
        <f t="shared" si="209"/>
        <v>96548.237605772913</v>
      </c>
      <c r="E2373" s="276">
        <f t="shared" si="209"/>
        <v>100153.9382960931</v>
      </c>
      <c r="F2373" s="276">
        <f t="shared" si="209"/>
        <v>99271.092610819047</v>
      </c>
      <c r="G2373" s="276">
        <f t="shared" si="209"/>
        <v>0</v>
      </c>
      <c r="H2373" s="276">
        <f t="shared" si="209"/>
        <v>97645.26546786727</v>
      </c>
      <c r="I2373" s="276">
        <f t="shared" si="209"/>
        <v>96621.339900520717</v>
      </c>
      <c r="J2373" s="276">
        <f t="shared" si="209"/>
        <v>95438.592801926774</v>
      </c>
      <c r="K2373" s="265"/>
    </row>
    <row r="2374" spans="1:11">
      <c r="A2374" s="285" t="s">
        <v>92</v>
      </c>
      <c r="B2374" s="276">
        <f t="shared" ref="B2374:J2374" si="210">B$2268</f>
        <v>73.771706509877575</v>
      </c>
      <c r="C2374" s="276">
        <f t="shared" si="210"/>
        <v>337.78839203844859</v>
      </c>
      <c r="D2374" s="276">
        <f t="shared" si="210"/>
        <v>336.44529704028378</v>
      </c>
      <c r="E2374" s="276">
        <f t="shared" si="210"/>
        <v>524.23061630202255</v>
      </c>
      <c r="F2374" s="276">
        <f t="shared" si="210"/>
        <v>519.6095824658637</v>
      </c>
      <c r="G2374" s="276">
        <f t="shared" si="210"/>
        <v>0</v>
      </c>
      <c r="H2374" s="276">
        <f t="shared" si="210"/>
        <v>511.0995989380026</v>
      </c>
      <c r="I2374" s="276">
        <f t="shared" si="210"/>
        <v>505.74011791958708</v>
      </c>
      <c r="J2374" s="276">
        <f t="shared" si="210"/>
        <v>499.54932551567487</v>
      </c>
      <c r="K2374" s="265"/>
    </row>
    <row r="2375" spans="1:11">
      <c r="A2375" s="285" t="s">
        <v>58</v>
      </c>
      <c r="B2375" s="276">
        <f t="shared" ref="B2375:J2375" si="211">B$2287</f>
        <v>1.7534430925521317E-4</v>
      </c>
      <c r="C2375" s="276">
        <f t="shared" si="211"/>
        <v>1.7381969431021769E-4</v>
      </c>
      <c r="D2375" s="276">
        <f t="shared" si="211"/>
        <v>1.7312856232488879E-4</v>
      </c>
      <c r="E2375" s="276">
        <f t="shared" si="211"/>
        <v>1.7611654290821676E-4</v>
      </c>
      <c r="F2375" s="276">
        <f t="shared" si="211"/>
        <v>1.7456409541930987E-4</v>
      </c>
      <c r="G2375" s="276">
        <f t="shared" si="211"/>
        <v>0</v>
      </c>
      <c r="H2375" s="276">
        <f t="shared" si="211"/>
        <v>1.7170514587968721E-4</v>
      </c>
      <c r="I2375" s="276">
        <f t="shared" si="211"/>
        <v>1.699046152746572E-4</v>
      </c>
      <c r="J2375" s="276">
        <f t="shared" si="211"/>
        <v>1.6782480359992032E-4</v>
      </c>
      <c r="K2375" s="265"/>
    </row>
    <row r="2376" spans="1:11">
      <c r="A2376" s="285" t="s">
        <v>59</v>
      </c>
      <c r="B2376" s="276">
        <f t="shared" ref="B2376:J2376" si="212">B$2288</f>
        <v>1.6727031945694195E-4</v>
      </c>
      <c r="C2376" s="276">
        <f t="shared" si="212"/>
        <v>1.6658881049461848E-4</v>
      </c>
      <c r="D2376" s="276">
        <f t="shared" si="212"/>
        <v>1.6592642953837747E-4</v>
      </c>
      <c r="E2376" s="276">
        <f t="shared" si="212"/>
        <v>1.6938961251052284E-4</v>
      </c>
      <c r="F2376" s="276">
        <f t="shared" si="212"/>
        <v>1.6789646215538602E-4</v>
      </c>
      <c r="G2376" s="276">
        <f t="shared" si="212"/>
        <v>0</v>
      </c>
      <c r="H2376" s="276">
        <f t="shared" si="212"/>
        <v>1.6514671277519184E-4</v>
      </c>
      <c r="I2376" s="276">
        <f t="shared" si="212"/>
        <v>1.6341495506258256E-4</v>
      </c>
      <c r="J2376" s="276">
        <f t="shared" si="212"/>
        <v>0</v>
      </c>
      <c r="K2376" s="265"/>
    </row>
    <row r="2377" spans="1:11">
      <c r="A2377" s="285" t="s">
        <v>72</v>
      </c>
      <c r="B2377" s="276">
        <f t="shared" ref="B2377:J2377" si="213">B$2289</f>
        <v>1.7275371534780301E-4</v>
      </c>
      <c r="C2377" s="276">
        <f t="shared" si="213"/>
        <v>1.7231887539835661E-4</v>
      </c>
      <c r="D2377" s="276">
        <f t="shared" si="213"/>
        <v>1.7163371088385021E-4</v>
      </c>
      <c r="E2377" s="276">
        <f t="shared" si="213"/>
        <v>1.76437131768107E-4</v>
      </c>
      <c r="F2377" s="276">
        <f t="shared" si="213"/>
        <v>1.7488185832450961E-4</v>
      </c>
      <c r="G2377" s="276">
        <f t="shared" si="213"/>
        <v>0</v>
      </c>
      <c r="H2377" s="276">
        <f t="shared" si="213"/>
        <v>1.720177045754569E-4</v>
      </c>
      <c r="I2377" s="276">
        <f t="shared" si="213"/>
        <v>0</v>
      </c>
      <c r="J2377" s="276">
        <f t="shared" si="213"/>
        <v>0</v>
      </c>
      <c r="K2377" s="265"/>
    </row>
    <row r="2378" spans="1:11">
      <c r="A2378" s="285" t="s">
        <v>1178</v>
      </c>
      <c r="B2378" s="276">
        <f t="shared" ref="B2378:J2378" si="214">B$2304</f>
        <v>6.6434952765183172E-2</v>
      </c>
      <c r="C2378" s="276">
        <f t="shared" si="214"/>
        <v>5.9417878602142135E-2</v>
      </c>
      <c r="D2378" s="276">
        <f t="shared" si="214"/>
        <v>5.9181624611676364E-2</v>
      </c>
      <c r="E2378" s="276">
        <f t="shared" si="214"/>
        <v>4.890155497658194E-2</v>
      </c>
      <c r="F2378" s="276">
        <f t="shared" si="214"/>
        <v>4.8470493277473985E-2</v>
      </c>
      <c r="G2378" s="276">
        <f t="shared" si="214"/>
        <v>0</v>
      </c>
      <c r="H2378" s="276">
        <f t="shared" si="214"/>
        <v>4.7676660535935382E-2</v>
      </c>
      <c r="I2378" s="276">
        <f t="shared" si="214"/>
        <v>4.7176714619924634E-2</v>
      </c>
      <c r="J2378" s="276">
        <f t="shared" si="214"/>
        <v>4.6599221879756056E-2</v>
      </c>
      <c r="K2378" s="265"/>
    </row>
    <row r="2379" spans="1:11">
      <c r="A2379" s="285" t="s">
        <v>1177</v>
      </c>
      <c r="B2379" s="276">
        <f t="shared" ref="B2379:J2379" si="215">B$2305</f>
        <v>82682.932679843856</v>
      </c>
      <c r="C2379" s="276">
        <f t="shared" si="215"/>
        <v>82109.506535908382</v>
      </c>
      <c r="D2379" s="276">
        <f t="shared" si="215"/>
        <v>81783.027384672154</v>
      </c>
      <c r="E2379" s="276">
        <f t="shared" si="215"/>
        <v>83080.654527854218</v>
      </c>
      <c r="F2379" s="276">
        <f t="shared" si="215"/>
        <v>82348.307915953468</v>
      </c>
      <c r="G2379" s="276">
        <f t="shared" si="215"/>
        <v>0</v>
      </c>
      <c r="H2379" s="276">
        <f t="shared" si="215"/>
        <v>80999.636206347277</v>
      </c>
      <c r="I2379" s="276">
        <f t="shared" si="215"/>
        <v>80150.259658902287</v>
      </c>
      <c r="J2379" s="276">
        <f t="shared" si="215"/>
        <v>79169.135953096484</v>
      </c>
      <c r="K2379" s="265"/>
    </row>
    <row r="2380" spans="1:11">
      <c r="A2380" s="285" t="s">
        <v>60</v>
      </c>
      <c r="B2380" s="276">
        <f t="shared" ref="B2380:J2380" si="216">B$2306</f>
        <v>212060.0466392352</v>
      </c>
      <c r="C2380" s="276">
        <f t="shared" si="216"/>
        <v>209303.63854519671</v>
      </c>
      <c r="D2380" s="276">
        <f t="shared" si="216"/>
        <v>208471.41731837683</v>
      </c>
      <c r="E2380" s="276">
        <f t="shared" si="216"/>
        <v>210451.04674059161</v>
      </c>
      <c r="F2380" s="276">
        <f t="shared" si="216"/>
        <v>208595.94446765797</v>
      </c>
      <c r="G2380" s="276">
        <f t="shared" si="216"/>
        <v>0</v>
      </c>
      <c r="H2380" s="276">
        <f t="shared" si="216"/>
        <v>205179.63323841881</v>
      </c>
      <c r="I2380" s="276">
        <f t="shared" si="216"/>
        <v>203028.08322352599</v>
      </c>
      <c r="J2380" s="276">
        <f t="shared" si="216"/>
        <v>200542.80536862405</v>
      </c>
      <c r="K2380" s="265"/>
    </row>
    <row r="2381" spans="1:11">
      <c r="A2381" s="285" t="s">
        <v>61</v>
      </c>
      <c r="B2381" s="276">
        <f t="shared" ref="B2381:J2381" si="217">B$2307</f>
        <v>113992.76478486336</v>
      </c>
      <c r="C2381" s="276">
        <f t="shared" si="217"/>
        <v>113118.93283091192</v>
      </c>
      <c r="D2381" s="276">
        <f t="shared" si="217"/>
        <v>112669.15576200173</v>
      </c>
      <c r="E2381" s="276">
        <f t="shared" si="217"/>
        <v>114443.63244179505</v>
      </c>
      <c r="F2381" s="276">
        <f t="shared" si="217"/>
        <v>113434.82471214164</v>
      </c>
      <c r="G2381" s="276">
        <f t="shared" si="217"/>
        <v>0</v>
      </c>
      <c r="H2381" s="276">
        <f t="shared" si="217"/>
        <v>111577.0289316923</v>
      </c>
      <c r="I2381" s="276">
        <f t="shared" si="217"/>
        <v>110407.01242239904</v>
      </c>
      <c r="J2381" s="276">
        <f t="shared" si="217"/>
        <v>0</v>
      </c>
      <c r="K2381" s="265"/>
    </row>
    <row r="2382" spans="1:11">
      <c r="A2382" s="285" t="s">
        <v>73</v>
      </c>
      <c r="B2382" s="276">
        <f t="shared" ref="B2382:J2382" si="218">B$2308</f>
        <v>320301.83669450536</v>
      </c>
      <c r="C2382" s="276">
        <f t="shared" si="218"/>
        <v>318591.58837174246</v>
      </c>
      <c r="D2382" s="276">
        <f t="shared" si="218"/>
        <v>317324.82261280896</v>
      </c>
      <c r="E2382" s="276">
        <f t="shared" si="218"/>
        <v>319867.73309609876</v>
      </c>
      <c r="F2382" s="276">
        <f t="shared" si="218"/>
        <v>317048.13505705388</v>
      </c>
      <c r="G2382" s="276">
        <f t="shared" si="218"/>
        <v>0</v>
      </c>
      <c r="H2382" s="276">
        <f t="shared" si="218"/>
        <v>311855.63188174559</v>
      </c>
      <c r="I2382" s="276">
        <f t="shared" si="218"/>
        <v>0</v>
      </c>
      <c r="J2382" s="276">
        <f t="shared" si="218"/>
        <v>0</v>
      </c>
      <c r="K2382" s="265"/>
    </row>
    <row r="2383" spans="1:11">
      <c r="A2383" s="285" t="s">
        <v>93</v>
      </c>
      <c r="B2383" s="276">
        <f t="shared" ref="B2383:J2383" si="219">B$2269</f>
        <v>1269.5502184039296</v>
      </c>
      <c r="C2383" s="276">
        <f t="shared" si="219"/>
        <v>1267.1512528590968</v>
      </c>
      <c r="D2383" s="276">
        <f t="shared" si="219"/>
        <v>1262.1128780962374</v>
      </c>
      <c r="E2383" s="276">
        <f t="shared" si="219"/>
        <v>1255.030081386202</v>
      </c>
      <c r="F2383" s="276">
        <f t="shared" si="219"/>
        <v>1243.9671325786844</v>
      </c>
      <c r="G2383" s="276">
        <f t="shared" si="219"/>
        <v>0</v>
      </c>
      <c r="H2383" s="276">
        <f t="shared" si="219"/>
        <v>1223.5938751087058</v>
      </c>
      <c r="I2383" s="276">
        <f t="shared" si="219"/>
        <v>1210.7630527767749</v>
      </c>
      <c r="J2383" s="276">
        <f t="shared" si="219"/>
        <v>1195.9420361231982</v>
      </c>
      <c r="K2383" s="265"/>
    </row>
    <row r="2384" spans="1:11">
      <c r="A2384" s="285" t="s">
        <v>94</v>
      </c>
      <c r="B2384" s="276">
        <f t="shared" ref="B2384:J2384" si="220">B$2270</f>
        <v>1735.4066266782456</v>
      </c>
      <c r="C2384" s="276">
        <f t="shared" si="220"/>
        <v>1630.6088579469244</v>
      </c>
      <c r="D2384" s="276">
        <f t="shared" si="220"/>
        <v>1624.1253237204953</v>
      </c>
      <c r="E2384" s="276">
        <f t="shared" si="220"/>
        <v>1234.0446863349291</v>
      </c>
      <c r="F2384" s="276">
        <f t="shared" si="220"/>
        <v>1223.1667214211052</v>
      </c>
      <c r="G2384" s="276">
        <f t="shared" si="220"/>
        <v>0</v>
      </c>
      <c r="H2384" s="276">
        <f t="shared" si="220"/>
        <v>1203.1341257908941</v>
      </c>
      <c r="I2384" s="276">
        <f t="shared" si="220"/>
        <v>1190.5178480180632</v>
      </c>
      <c r="J2384" s="276">
        <f t="shared" si="220"/>
        <v>1175.9446540216084</v>
      </c>
      <c r="K2384" s="265"/>
    </row>
    <row r="2385" spans="1:11">
      <c r="A2385" s="285" t="s">
        <v>95</v>
      </c>
      <c r="B2385" s="276">
        <f t="shared" ref="B2385:J2385" si="221">B$2271</f>
        <v>394.50616646254815</v>
      </c>
      <c r="C2385" s="276">
        <f t="shared" si="221"/>
        <v>358.76729174855279</v>
      </c>
      <c r="D2385" s="276">
        <f t="shared" si="221"/>
        <v>357.34078164219676</v>
      </c>
      <c r="E2385" s="276">
        <f t="shared" si="221"/>
        <v>263.06807815335355</v>
      </c>
      <c r="F2385" s="276">
        <f t="shared" si="221"/>
        <v>260.7491626750184</v>
      </c>
      <c r="G2385" s="276">
        <f t="shared" si="221"/>
        <v>0</v>
      </c>
      <c r="H2385" s="276">
        <f t="shared" si="221"/>
        <v>256.47870432677627</v>
      </c>
      <c r="I2385" s="276">
        <f t="shared" si="221"/>
        <v>253.78922315652414</v>
      </c>
      <c r="J2385" s="276">
        <f t="shared" si="221"/>
        <v>250.6825754154367</v>
      </c>
      <c r="K2385" s="265"/>
    </row>
    <row r="2386" spans="1:11">
      <c r="A2386" s="285" t="s">
        <v>96</v>
      </c>
      <c r="B2386" s="276">
        <f t="shared" ref="B2386:J2386" si="222">B$2272</f>
        <v>0</v>
      </c>
      <c r="C2386" s="276">
        <f t="shared" si="222"/>
        <v>0</v>
      </c>
      <c r="D2386" s="276">
        <f t="shared" si="222"/>
        <v>0</v>
      </c>
      <c r="E2386" s="276">
        <f t="shared" si="222"/>
        <v>0</v>
      </c>
      <c r="F2386" s="276">
        <f t="shared" si="222"/>
        <v>0</v>
      </c>
      <c r="G2386" s="276">
        <f t="shared" si="222"/>
        <v>0</v>
      </c>
      <c r="H2386" s="276">
        <f t="shared" si="222"/>
        <v>0</v>
      </c>
      <c r="I2386" s="276">
        <f t="shared" si="222"/>
        <v>0</v>
      </c>
      <c r="J2386" s="276">
        <f t="shared" si="222"/>
        <v>0</v>
      </c>
      <c r="K2386" s="265"/>
    </row>
    <row r="2387" spans="1:11">
      <c r="A2387" s="285" t="s">
        <v>97</v>
      </c>
      <c r="B2387" s="276">
        <f t="shared" ref="B2387:J2387" si="223">B$2309</f>
        <v>27786.476379848049</v>
      </c>
      <c r="C2387" s="276">
        <f t="shared" si="223"/>
        <v>25943.442520509278</v>
      </c>
      <c r="D2387" s="276">
        <f t="shared" si="223"/>
        <v>25840.287679473451</v>
      </c>
      <c r="E2387" s="276">
        <f t="shared" si="223"/>
        <v>20283.042600049303</v>
      </c>
      <c r="F2387" s="276">
        <f t="shared" si="223"/>
        <v>20104.24986410372</v>
      </c>
      <c r="G2387" s="276">
        <f t="shared" si="223"/>
        <v>0</v>
      </c>
      <c r="H2387" s="276">
        <f t="shared" si="223"/>
        <v>19774.989509874657</v>
      </c>
      <c r="I2387" s="276">
        <f t="shared" si="223"/>
        <v>19567.625463536606</v>
      </c>
      <c r="J2387" s="276">
        <f t="shared" si="223"/>
        <v>19328.097091572406</v>
      </c>
      <c r="K2387" s="265"/>
    </row>
    <row r="2388" spans="1:11">
      <c r="A2388" s="285" t="s">
        <v>1176</v>
      </c>
      <c r="B2388" s="276">
        <f t="shared" ref="B2388:J2391" si="224">B2345</f>
        <v>-405.84569414865376</v>
      </c>
      <c r="C2388" s="276">
        <f t="shared" si="224"/>
        <v>-405.03562290284799</v>
      </c>
      <c r="D2388" s="276">
        <f t="shared" si="224"/>
        <v>-403.4251432889202</v>
      </c>
      <c r="E2388" s="276">
        <f t="shared" si="224"/>
        <v>-401.03329461329417</v>
      </c>
      <c r="F2388" s="276">
        <f t="shared" si="224"/>
        <v>-397.49823129153162</v>
      </c>
      <c r="G2388" s="276">
        <f t="shared" si="224"/>
        <v>0</v>
      </c>
      <c r="H2388" s="276">
        <f t="shared" si="224"/>
        <v>-390.98814465188218</v>
      </c>
      <c r="I2388" s="276">
        <f t="shared" si="224"/>
        <v>-386.88817364028012</v>
      </c>
      <c r="J2388" s="276">
        <f t="shared" si="224"/>
        <v>0</v>
      </c>
      <c r="K2388" s="265"/>
    </row>
    <row r="2389" spans="1:11">
      <c r="A2389" s="285" t="s">
        <v>62</v>
      </c>
      <c r="B2389" s="276">
        <f t="shared" si="224"/>
        <v>-11.025859003013302</v>
      </c>
      <c r="C2389" s="276">
        <f t="shared" si="224"/>
        <v>-11.003851300412478</v>
      </c>
      <c r="D2389" s="276">
        <f t="shared" si="224"/>
        <v>-10.960098412538073</v>
      </c>
      <c r="E2389" s="276">
        <f t="shared" si="224"/>
        <v>-10.895117591910378</v>
      </c>
      <c r="F2389" s="276">
        <f t="shared" si="224"/>
        <v>-10.799078357505685</v>
      </c>
      <c r="G2389" s="276">
        <f t="shared" si="224"/>
        <v>0</v>
      </c>
      <c r="H2389" s="276">
        <f t="shared" si="224"/>
        <v>-10.622214839126496</v>
      </c>
      <c r="I2389" s="276">
        <f t="shared" si="224"/>
        <v>0</v>
      </c>
      <c r="J2389" s="276">
        <f t="shared" si="224"/>
        <v>0</v>
      </c>
      <c r="K2389" s="265"/>
    </row>
    <row r="2390" spans="1:11">
      <c r="A2390" s="285" t="s">
        <v>63</v>
      </c>
      <c r="B2390" s="276">
        <f t="shared" si="224"/>
        <v>-9660.7561609358254</v>
      </c>
      <c r="C2390" s="276">
        <f t="shared" si="224"/>
        <v>-9641.4732145068119</v>
      </c>
      <c r="D2390" s="276">
        <f t="shared" si="224"/>
        <v>-9603.1373369143403</v>
      </c>
      <c r="E2390" s="276">
        <f t="shared" si="224"/>
        <v>-9546.2017400551613</v>
      </c>
      <c r="F2390" s="276">
        <f t="shared" si="224"/>
        <v>-9462.053046949879</v>
      </c>
      <c r="G2390" s="276">
        <f t="shared" si="224"/>
        <v>0</v>
      </c>
      <c r="H2390" s="276">
        <f t="shared" si="224"/>
        <v>-9307.0868602464616</v>
      </c>
      <c r="I2390" s="276">
        <f t="shared" si="224"/>
        <v>-9209.4910971742884</v>
      </c>
      <c r="J2390" s="276">
        <f t="shared" si="224"/>
        <v>0</v>
      </c>
      <c r="K2390" s="265"/>
    </row>
    <row r="2391" spans="1:11">
      <c r="A2391" s="285" t="s">
        <v>1516</v>
      </c>
      <c r="B2391" s="276">
        <f t="shared" si="224"/>
        <v>0</v>
      </c>
      <c r="C2391" s="276">
        <f t="shared" si="224"/>
        <v>0</v>
      </c>
      <c r="D2391" s="276">
        <f t="shared" si="224"/>
        <v>0</v>
      </c>
      <c r="E2391" s="276">
        <f t="shared" si="224"/>
        <v>0</v>
      </c>
      <c r="F2391" s="276">
        <f t="shared" si="224"/>
        <v>0</v>
      </c>
      <c r="G2391" s="276">
        <f t="shared" si="224"/>
        <v>0</v>
      </c>
      <c r="H2391" s="276">
        <f t="shared" si="224"/>
        <v>0</v>
      </c>
      <c r="I2391" s="276">
        <f t="shared" si="224"/>
        <v>0</v>
      </c>
      <c r="J2391" s="276">
        <f t="shared" si="224"/>
        <v>0</v>
      </c>
      <c r="K2391" s="265"/>
    </row>
    <row r="2392" spans="1:11">
      <c r="A2392" s="285" t="s">
        <v>64</v>
      </c>
      <c r="B2392" s="276">
        <f t="shared" ref="B2392:J2392" si="225">B$2310</f>
        <v>-305.62885058571135</v>
      </c>
      <c r="C2392" s="276">
        <f t="shared" si="225"/>
        <v>-301.03155316497191</v>
      </c>
      <c r="D2392" s="276">
        <f t="shared" si="225"/>
        <v>-299.8346086195844</v>
      </c>
      <c r="E2392" s="276">
        <f t="shared" si="225"/>
        <v>-293.38882436964286</v>
      </c>
      <c r="F2392" s="276">
        <f t="shared" si="225"/>
        <v>-290.80263492857847</v>
      </c>
      <c r="G2392" s="276">
        <f t="shared" si="225"/>
        <v>0</v>
      </c>
      <c r="H2392" s="276">
        <f t="shared" si="225"/>
        <v>-286.03997135075008</v>
      </c>
      <c r="I2392" s="276">
        <f t="shared" si="225"/>
        <v>-283.04050549292538</v>
      </c>
      <c r="J2392" s="276">
        <f t="shared" si="225"/>
        <v>0</v>
      </c>
      <c r="K2392" s="265"/>
    </row>
    <row r="2393" spans="1:11">
      <c r="A2393" s="285" t="s">
        <v>1517</v>
      </c>
      <c r="B2393" s="276">
        <f t="shared" ref="B2393:J2393" si="226">B$2311</f>
        <v>0</v>
      </c>
      <c r="C2393" s="276">
        <f t="shared" si="226"/>
        <v>0</v>
      </c>
      <c r="D2393" s="276">
        <f t="shared" si="226"/>
        <v>0</v>
      </c>
      <c r="E2393" s="276">
        <f t="shared" si="226"/>
        <v>0</v>
      </c>
      <c r="F2393" s="276">
        <f t="shared" si="226"/>
        <v>0</v>
      </c>
      <c r="G2393" s="276">
        <f t="shared" si="226"/>
        <v>0</v>
      </c>
      <c r="H2393" s="276">
        <f t="shared" si="226"/>
        <v>0</v>
      </c>
      <c r="I2393" s="276">
        <f t="shared" si="226"/>
        <v>0</v>
      </c>
      <c r="J2393" s="276">
        <f t="shared" si="226"/>
        <v>0</v>
      </c>
      <c r="K2393" s="265"/>
    </row>
    <row r="2394" spans="1:11">
      <c r="A2394" s="285" t="s">
        <v>65</v>
      </c>
      <c r="B2394" s="276">
        <f t="shared" ref="B2394:J2395" si="227">B2351</f>
        <v>-1561.6140399496799</v>
      </c>
      <c r="C2394" s="276">
        <f t="shared" si="227"/>
        <v>-1558.4970458579642</v>
      </c>
      <c r="D2394" s="276">
        <f t="shared" si="227"/>
        <v>-1552.3002385185684</v>
      </c>
      <c r="E2394" s="276">
        <f t="shared" si="227"/>
        <v>-1543.0968774206324</v>
      </c>
      <c r="F2394" s="276">
        <f t="shared" si="227"/>
        <v>-1529.4946522523803</v>
      </c>
      <c r="G2394" s="276">
        <f t="shared" si="227"/>
        <v>0</v>
      </c>
      <c r="H2394" s="276">
        <f t="shared" si="227"/>
        <v>-1504.4451251923701</v>
      </c>
      <c r="I2394" s="276">
        <f t="shared" si="227"/>
        <v>0</v>
      </c>
      <c r="J2394" s="276">
        <f t="shared" si="227"/>
        <v>0</v>
      </c>
      <c r="K2394" s="265"/>
    </row>
    <row r="2395" spans="1:11">
      <c r="A2395" s="285" t="s">
        <v>1518</v>
      </c>
      <c r="B2395" s="276">
        <f t="shared" si="227"/>
        <v>0</v>
      </c>
      <c r="C2395" s="276">
        <f t="shared" si="227"/>
        <v>0</v>
      </c>
      <c r="D2395" s="276">
        <f t="shared" si="227"/>
        <v>0</v>
      </c>
      <c r="E2395" s="276">
        <f t="shared" si="227"/>
        <v>0</v>
      </c>
      <c r="F2395" s="276">
        <f t="shared" si="227"/>
        <v>0</v>
      </c>
      <c r="G2395" s="276">
        <f t="shared" si="227"/>
        <v>0</v>
      </c>
      <c r="H2395" s="276">
        <f t="shared" si="227"/>
        <v>0</v>
      </c>
      <c r="I2395" s="276">
        <f t="shared" si="227"/>
        <v>0</v>
      </c>
      <c r="J2395" s="276">
        <f t="shared" si="227"/>
        <v>0</v>
      </c>
      <c r="K2395" s="265"/>
    </row>
    <row r="2396" spans="1:11">
      <c r="A2396" s="285" t="s">
        <v>66</v>
      </c>
      <c r="B2396" s="276">
        <f t="shared" ref="B2396:J2396" si="228">B$2312</f>
        <v>-528.0737152255922</v>
      </c>
      <c r="C2396" s="276">
        <f t="shared" si="228"/>
        <v>-518.33092890324519</v>
      </c>
      <c r="D2396" s="276">
        <f t="shared" si="228"/>
        <v>-516.26997093543889</v>
      </c>
      <c r="E2396" s="276">
        <f t="shared" si="228"/>
        <v>-492.20068783494565</v>
      </c>
      <c r="F2396" s="276">
        <f t="shared" si="228"/>
        <v>-487.86199421054368</v>
      </c>
      <c r="G2396" s="276">
        <f t="shared" si="228"/>
        <v>0</v>
      </c>
      <c r="H2396" s="276">
        <f t="shared" si="228"/>
        <v>-479.87196155006262</v>
      </c>
      <c r="I2396" s="276">
        <f t="shared" si="228"/>
        <v>0</v>
      </c>
      <c r="J2396" s="276">
        <f t="shared" si="228"/>
        <v>0</v>
      </c>
      <c r="K2396" s="265"/>
    </row>
    <row r="2397" spans="1:11">
      <c r="A2397" s="285" t="s">
        <v>1519</v>
      </c>
      <c r="B2397" s="276">
        <f t="shared" ref="B2397:J2397" si="229">B$2313</f>
        <v>0</v>
      </c>
      <c r="C2397" s="276">
        <f t="shared" si="229"/>
        <v>0</v>
      </c>
      <c r="D2397" s="276">
        <f t="shared" si="229"/>
        <v>0</v>
      </c>
      <c r="E2397" s="276">
        <f t="shared" si="229"/>
        <v>0</v>
      </c>
      <c r="F2397" s="276">
        <f t="shared" si="229"/>
        <v>0</v>
      </c>
      <c r="G2397" s="276">
        <f t="shared" si="229"/>
        <v>0</v>
      </c>
      <c r="H2397" s="276">
        <f t="shared" si="229"/>
        <v>0</v>
      </c>
      <c r="I2397" s="276">
        <f t="shared" si="229"/>
        <v>0</v>
      </c>
      <c r="J2397" s="276">
        <f t="shared" si="229"/>
        <v>0</v>
      </c>
      <c r="K2397" s="265"/>
    </row>
    <row r="2398" spans="1:11">
      <c r="A2398" s="285" t="s">
        <v>74</v>
      </c>
      <c r="B2398" s="276">
        <f t="shared" ref="B2398:J2399" si="230">B2355</f>
        <v>-48443.264883192554</v>
      </c>
      <c r="C2398" s="276">
        <f t="shared" si="230"/>
        <v>-48346.57173971313</v>
      </c>
      <c r="D2398" s="276">
        <f t="shared" si="230"/>
        <v>-48154.338850091997</v>
      </c>
      <c r="E2398" s="276">
        <f t="shared" si="230"/>
        <v>-47868.838817383948</v>
      </c>
      <c r="F2398" s="276">
        <f t="shared" si="230"/>
        <v>-47446.880394899665</v>
      </c>
      <c r="G2398" s="276">
        <f t="shared" si="230"/>
        <v>0</v>
      </c>
      <c r="H2398" s="276">
        <f t="shared" si="230"/>
        <v>0</v>
      </c>
      <c r="I2398" s="276">
        <f t="shared" si="230"/>
        <v>0</v>
      </c>
      <c r="J2398" s="276">
        <f t="shared" si="230"/>
        <v>0</v>
      </c>
      <c r="K2398" s="265"/>
    </row>
    <row r="2399" spans="1:11">
      <c r="A2399" s="285" t="s">
        <v>1520</v>
      </c>
      <c r="B2399" s="276">
        <f t="shared" si="230"/>
        <v>0</v>
      </c>
      <c r="C2399" s="276">
        <f t="shared" si="230"/>
        <v>0</v>
      </c>
      <c r="D2399" s="276">
        <f t="shared" si="230"/>
        <v>0</v>
      </c>
      <c r="E2399" s="276">
        <f t="shared" si="230"/>
        <v>0</v>
      </c>
      <c r="F2399" s="276">
        <f t="shared" si="230"/>
        <v>0</v>
      </c>
      <c r="G2399" s="276">
        <f t="shared" si="230"/>
        <v>0</v>
      </c>
      <c r="H2399" s="276">
        <f t="shared" si="230"/>
        <v>0</v>
      </c>
      <c r="I2399" s="276">
        <f t="shared" si="230"/>
        <v>0</v>
      </c>
      <c r="J2399" s="276">
        <f t="shared" si="230"/>
        <v>0</v>
      </c>
      <c r="K2399" s="265"/>
    </row>
    <row r="2400" spans="1:11">
      <c r="A2400" s="285" t="s">
        <v>75</v>
      </c>
      <c r="B2400" s="276">
        <f t="shared" ref="B2400:J2400" si="231">B$2314</f>
        <v>-36141.713593661611</v>
      </c>
      <c r="C2400" s="276">
        <f t="shared" si="231"/>
        <v>-34961.016687724485</v>
      </c>
      <c r="D2400" s="276">
        <f t="shared" si="231"/>
        <v>-34822.006681013852</v>
      </c>
      <c r="E2400" s="276">
        <f t="shared" si="231"/>
        <v>-32931.017390802743</v>
      </c>
      <c r="F2400" s="276">
        <f t="shared" si="231"/>
        <v>-32640.734181677155</v>
      </c>
      <c r="G2400" s="276">
        <f t="shared" si="231"/>
        <v>0</v>
      </c>
      <c r="H2400" s="276">
        <f t="shared" si="231"/>
        <v>0</v>
      </c>
      <c r="I2400" s="276">
        <f t="shared" si="231"/>
        <v>0</v>
      </c>
      <c r="J2400" s="276">
        <f t="shared" si="231"/>
        <v>0</v>
      </c>
      <c r="K2400" s="265"/>
    </row>
    <row r="2401" spans="1:11">
      <c r="A2401" s="285" t="s">
        <v>1521</v>
      </c>
      <c r="B2401" s="276">
        <f t="shared" ref="B2401:J2401" si="232">B$2315</f>
        <v>0</v>
      </c>
      <c r="C2401" s="276">
        <f t="shared" si="232"/>
        <v>0</v>
      </c>
      <c r="D2401" s="276">
        <f t="shared" si="232"/>
        <v>0</v>
      </c>
      <c r="E2401" s="276">
        <f t="shared" si="232"/>
        <v>0</v>
      </c>
      <c r="F2401" s="276">
        <f t="shared" si="232"/>
        <v>0</v>
      </c>
      <c r="G2401" s="276">
        <f t="shared" si="232"/>
        <v>0</v>
      </c>
      <c r="H2401" s="276">
        <f t="shared" si="232"/>
        <v>0</v>
      </c>
      <c r="I2401" s="276">
        <f t="shared" si="232"/>
        <v>0</v>
      </c>
      <c r="J2401" s="276">
        <f t="shared" si="232"/>
        <v>0</v>
      </c>
      <c r="K2401" s="265"/>
    </row>
    <row r="2403" spans="1:11" ht="21" customHeight="1">
      <c r="A2403" s="1" t="s">
        <v>510</v>
      </c>
    </row>
    <row r="2404" spans="1:11">
      <c r="A2404" s="264" t="s">
        <v>217</v>
      </c>
    </row>
    <row r="2405" spans="1:11">
      <c r="A2405" s="269" t="s">
        <v>511</v>
      </c>
    </row>
    <row r="2406" spans="1:11">
      <c r="A2406" s="264" t="s">
        <v>512</v>
      </c>
    </row>
    <row r="2408" spans="1:11">
      <c r="B2408" s="284" t="s">
        <v>22</v>
      </c>
      <c r="C2408" s="284" t="s">
        <v>23</v>
      </c>
      <c r="D2408" s="284" t="s">
        <v>24</v>
      </c>
      <c r="E2408" s="284" t="s">
        <v>25</v>
      </c>
      <c r="F2408" s="284" t="s">
        <v>26</v>
      </c>
      <c r="G2408" s="284" t="s">
        <v>31</v>
      </c>
      <c r="H2408" s="284" t="s">
        <v>27</v>
      </c>
      <c r="I2408" s="284" t="s">
        <v>28</v>
      </c>
      <c r="J2408" s="284" t="s">
        <v>29</v>
      </c>
    </row>
    <row r="2409" spans="1:11" ht="30">
      <c r="A2409" s="285" t="s">
        <v>513</v>
      </c>
      <c r="B2409" s="275">
        <f t="shared" ref="B2409:J2409" si="233">SUM(B$2369:B$2401)</f>
        <v>2345552.5440985546</v>
      </c>
      <c r="C2409" s="275">
        <f t="shared" si="233"/>
        <v>2287118.4352851566</v>
      </c>
      <c r="D2409" s="275">
        <f t="shared" si="233"/>
        <v>2278024.5250056922</v>
      </c>
      <c r="E2409" s="275">
        <f t="shared" si="233"/>
        <v>2223037.531168412</v>
      </c>
      <c r="F2409" s="275">
        <f t="shared" si="233"/>
        <v>2203441.7057222682</v>
      </c>
      <c r="G2409" s="275">
        <f t="shared" si="233"/>
        <v>0</v>
      </c>
      <c r="H2409" s="275">
        <f t="shared" si="233"/>
        <v>2246130.4778662031</v>
      </c>
      <c r="I2409" s="275">
        <f t="shared" si="233"/>
        <v>1915965.71682398</v>
      </c>
      <c r="J2409" s="275">
        <f t="shared" si="233"/>
        <v>1793215.2467901907</v>
      </c>
      <c r="K2409" s="265"/>
    </row>
    <row r="2411" spans="1:11" ht="21" customHeight="1">
      <c r="A2411" s="1" t="str">
        <f>"Forecast aggregate maximum load for "&amp;CDCM!B7&amp;" in "&amp;CDCM!C7&amp;" ("&amp;CDCM!D7&amp;")"</f>
        <v>Forecast aggregate maximum load for 0 in 0 (0)</v>
      </c>
    </row>
    <row r="2413" spans="1:11" ht="21" customHeight="1">
      <c r="A2413" s="1" t="s">
        <v>514</v>
      </c>
    </row>
    <row r="2414" spans="1:11">
      <c r="A2414" s="264" t="s">
        <v>217</v>
      </c>
    </row>
    <row r="2415" spans="1:11">
      <c r="A2415" s="269" t="s">
        <v>515</v>
      </c>
    </row>
    <row r="2416" spans="1:11">
      <c r="A2416" s="269" t="s">
        <v>516</v>
      </c>
    </row>
    <row r="2417" spans="1:12">
      <c r="A2417" s="269" t="s">
        <v>517</v>
      </c>
    </row>
    <row r="2418" spans="1:12">
      <c r="A2418" s="270" t="s">
        <v>220</v>
      </c>
      <c r="B2418" s="271" t="s">
        <v>221</v>
      </c>
      <c r="C2418" s="271"/>
      <c r="D2418" s="271"/>
      <c r="E2418" s="271"/>
      <c r="F2418" s="271"/>
      <c r="G2418" s="271"/>
      <c r="H2418" s="271"/>
      <c r="I2418" s="271"/>
      <c r="J2418" s="270" t="s">
        <v>221</v>
      </c>
      <c r="K2418" s="270" t="s">
        <v>342</v>
      </c>
    </row>
    <row r="2419" spans="1:12">
      <c r="A2419" s="270" t="s">
        <v>223</v>
      </c>
      <c r="B2419" s="271" t="s">
        <v>224</v>
      </c>
      <c r="C2419" s="271"/>
      <c r="D2419" s="271"/>
      <c r="E2419" s="271"/>
      <c r="F2419" s="271"/>
      <c r="G2419" s="271"/>
      <c r="H2419" s="271"/>
      <c r="I2419" s="271"/>
      <c r="J2419" s="270" t="s">
        <v>224</v>
      </c>
      <c r="K2419" s="270" t="s">
        <v>518</v>
      </c>
    </row>
    <row r="2421" spans="1:12">
      <c r="B2421" s="296" t="s">
        <v>519</v>
      </c>
      <c r="C2421" s="296"/>
      <c r="D2421" s="296"/>
      <c r="E2421" s="296"/>
      <c r="F2421" s="296"/>
      <c r="G2421" s="296"/>
      <c r="H2421" s="296"/>
      <c r="I2421" s="296"/>
    </row>
    <row r="2422" spans="1:12" ht="30">
      <c r="B2422" s="284" t="s">
        <v>22</v>
      </c>
      <c r="C2422" s="284" t="s">
        <v>23</v>
      </c>
      <c r="D2422" s="284" t="s">
        <v>24</v>
      </c>
      <c r="E2422" s="284" t="s">
        <v>25</v>
      </c>
      <c r="F2422" s="284" t="s">
        <v>26</v>
      </c>
      <c r="G2422" s="284" t="s">
        <v>27</v>
      </c>
      <c r="H2422" s="284" t="s">
        <v>28</v>
      </c>
      <c r="I2422" s="284" t="s">
        <v>29</v>
      </c>
      <c r="J2422" s="284" t="s">
        <v>520</v>
      </c>
      <c r="K2422" s="284" t="s">
        <v>521</v>
      </c>
    </row>
    <row r="2423" spans="1:12">
      <c r="A2423" s="285" t="s">
        <v>54</v>
      </c>
      <c r="B2423" s="267">
        <v>0</v>
      </c>
      <c r="C2423" s="267">
        <v>0</v>
      </c>
      <c r="D2423" s="267">
        <v>0</v>
      </c>
      <c r="E2423" s="267">
        <v>0</v>
      </c>
      <c r="F2423" s="267">
        <v>0</v>
      </c>
      <c r="G2423" s="267">
        <v>0</v>
      </c>
      <c r="H2423" s="267">
        <v>0</v>
      </c>
      <c r="I2423" s="267">
        <v>1</v>
      </c>
      <c r="J2423" s="267">
        <v>0</v>
      </c>
      <c r="K2423" s="273">
        <f t="shared" ref="K2423:K2441" si="234">$C2423+0.2*$B$36*$J2423</f>
        <v>0</v>
      </c>
      <c r="L2423" s="265"/>
    </row>
    <row r="2424" spans="1:12">
      <c r="A2424" s="285" t="s">
        <v>55</v>
      </c>
      <c r="B2424" s="267">
        <v>0</v>
      </c>
      <c r="C2424" s="267">
        <v>0</v>
      </c>
      <c r="D2424" s="267">
        <v>0</v>
      </c>
      <c r="E2424" s="267">
        <v>0</v>
      </c>
      <c r="F2424" s="267">
        <v>0</v>
      </c>
      <c r="G2424" s="267">
        <v>0</v>
      </c>
      <c r="H2424" s="267">
        <v>0</v>
      </c>
      <c r="I2424" s="267">
        <v>1</v>
      </c>
      <c r="J2424" s="267">
        <v>0</v>
      </c>
      <c r="K2424" s="273">
        <f t="shared" si="234"/>
        <v>0</v>
      </c>
      <c r="L2424" s="265"/>
    </row>
    <row r="2425" spans="1:12">
      <c r="A2425" s="285" t="s">
        <v>91</v>
      </c>
      <c r="B2425" s="267">
        <v>0</v>
      </c>
      <c r="C2425" s="267">
        <v>0</v>
      </c>
      <c r="D2425" s="267">
        <v>0</v>
      </c>
      <c r="E2425" s="267">
        <v>0</v>
      </c>
      <c r="F2425" s="267">
        <v>0</v>
      </c>
      <c r="G2425" s="267">
        <v>0</v>
      </c>
      <c r="H2425" s="267">
        <v>0</v>
      </c>
      <c r="I2425" s="267">
        <v>1</v>
      </c>
      <c r="J2425" s="267">
        <v>0</v>
      </c>
      <c r="K2425" s="273">
        <f t="shared" si="234"/>
        <v>0</v>
      </c>
      <c r="L2425" s="265"/>
    </row>
    <row r="2426" spans="1:12">
      <c r="A2426" s="285" t="s">
        <v>56</v>
      </c>
      <c r="B2426" s="267">
        <v>0</v>
      </c>
      <c r="C2426" s="267">
        <v>0</v>
      </c>
      <c r="D2426" s="267">
        <v>0</v>
      </c>
      <c r="E2426" s="267">
        <v>0</v>
      </c>
      <c r="F2426" s="267">
        <v>0</v>
      </c>
      <c r="G2426" s="267">
        <v>0</v>
      </c>
      <c r="H2426" s="267">
        <v>0</v>
      </c>
      <c r="I2426" s="267">
        <v>1</v>
      </c>
      <c r="J2426" s="267">
        <v>0</v>
      </c>
      <c r="K2426" s="273">
        <f t="shared" si="234"/>
        <v>0</v>
      </c>
      <c r="L2426" s="265"/>
    </row>
    <row r="2427" spans="1:12">
      <c r="A2427" s="285" t="s">
        <v>57</v>
      </c>
      <c r="B2427" s="267">
        <v>0</v>
      </c>
      <c r="C2427" s="267">
        <v>0</v>
      </c>
      <c r="D2427" s="267">
        <v>0</v>
      </c>
      <c r="E2427" s="267">
        <v>0</v>
      </c>
      <c r="F2427" s="267">
        <v>0</v>
      </c>
      <c r="G2427" s="267">
        <v>0</v>
      </c>
      <c r="H2427" s="267">
        <v>0</v>
      </c>
      <c r="I2427" s="267">
        <v>1</v>
      </c>
      <c r="J2427" s="267">
        <v>0</v>
      </c>
      <c r="K2427" s="273">
        <f t="shared" si="234"/>
        <v>0</v>
      </c>
      <c r="L2427" s="265"/>
    </row>
    <row r="2428" spans="1:12">
      <c r="A2428" s="285" t="s">
        <v>92</v>
      </c>
      <c r="B2428" s="267">
        <v>0</v>
      </c>
      <c r="C2428" s="267">
        <v>0</v>
      </c>
      <c r="D2428" s="267">
        <v>0</v>
      </c>
      <c r="E2428" s="267">
        <v>0</v>
      </c>
      <c r="F2428" s="267">
        <v>0</v>
      </c>
      <c r="G2428" s="267">
        <v>0</v>
      </c>
      <c r="H2428" s="267">
        <v>0</v>
      </c>
      <c r="I2428" s="267">
        <v>1</v>
      </c>
      <c r="J2428" s="267">
        <v>0</v>
      </c>
      <c r="K2428" s="273">
        <f t="shared" si="234"/>
        <v>0</v>
      </c>
      <c r="L2428" s="265"/>
    </row>
    <row r="2429" spans="1:12">
      <c r="A2429" s="285" t="s">
        <v>58</v>
      </c>
      <c r="B2429" s="267">
        <v>0</v>
      </c>
      <c r="C2429" s="267">
        <v>0</v>
      </c>
      <c r="D2429" s="267">
        <v>0</v>
      </c>
      <c r="E2429" s="267">
        <v>0</v>
      </c>
      <c r="F2429" s="267">
        <v>0</v>
      </c>
      <c r="G2429" s="267">
        <v>0</v>
      </c>
      <c r="H2429" s="267">
        <v>0</v>
      </c>
      <c r="I2429" s="267">
        <v>1</v>
      </c>
      <c r="J2429" s="267">
        <v>0</v>
      </c>
      <c r="K2429" s="273">
        <f t="shared" si="234"/>
        <v>0</v>
      </c>
      <c r="L2429" s="265"/>
    </row>
    <row r="2430" spans="1:12">
      <c r="A2430" s="285" t="s">
        <v>59</v>
      </c>
      <c r="B2430" s="267">
        <v>0</v>
      </c>
      <c r="C2430" s="267">
        <v>0</v>
      </c>
      <c r="D2430" s="267">
        <v>0</v>
      </c>
      <c r="E2430" s="267">
        <v>0</v>
      </c>
      <c r="F2430" s="267">
        <v>0</v>
      </c>
      <c r="G2430" s="267">
        <v>0</v>
      </c>
      <c r="H2430" s="267">
        <v>1</v>
      </c>
      <c r="I2430" s="267">
        <v>0</v>
      </c>
      <c r="J2430" s="267">
        <v>0</v>
      </c>
      <c r="K2430" s="273">
        <f t="shared" si="234"/>
        <v>0</v>
      </c>
      <c r="L2430" s="265"/>
    </row>
    <row r="2431" spans="1:12">
      <c r="A2431" s="285" t="s">
        <v>72</v>
      </c>
      <c r="B2431" s="267">
        <v>0</v>
      </c>
      <c r="C2431" s="267">
        <v>0</v>
      </c>
      <c r="D2431" s="267">
        <v>0</v>
      </c>
      <c r="E2431" s="267">
        <v>0.2</v>
      </c>
      <c r="F2431" s="267">
        <v>1</v>
      </c>
      <c r="G2431" s="267">
        <v>1</v>
      </c>
      <c r="H2431" s="267">
        <v>0</v>
      </c>
      <c r="I2431" s="267">
        <v>0</v>
      </c>
      <c r="J2431" s="267">
        <v>1</v>
      </c>
      <c r="K2431" s="273">
        <f t="shared" si="234"/>
        <v>0</v>
      </c>
      <c r="L2431" s="265"/>
    </row>
    <row r="2432" spans="1:12">
      <c r="A2432" s="285" t="s">
        <v>1178</v>
      </c>
      <c r="B2432" s="267">
        <v>0</v>
      </c>
      <c r="C2432" s="267">
        <v>0</v>
      </c>
      <c r="D2432" s="267">
        <v>0</v>
      </c>
      <c r="E2432" s="267">
        <v>0</v>
      </c>
      <c r="F2432" s="267">
        <v>0</v>
      </c>
      <c r="G2432" s="267">
        <v>0</v>
      </c>
      <c r="H2432" s="267">
        <v>0</v>
      </c>
      <c r="I2432" s="267">
        <v>1</v>
      </c>
      <c r="J2432" s="267">
        <v>0</v>
      </c>
      <c r="K2432" s="273">
        <f t="shared" si="234"/>
        <v>0</v>
      </c>
      <c r="L2432" s="265"/>
    </row>
    <row r="2433" spans="1:12">
      <c r="A2433" s="285" t="s">
        <v>1177</v>
      </c>
      <c r="B2433" s="267">
        <v>0</v>
      </c>
      <c r="C2433" s="267">
        <v>0</v>
      </c>
      <c r="D2433" s="267">
        <v>0</v>
      </c>
      <c r="E2433" s="267">
        <v>0</v>
      </c>
      <c r="F2433" s="267">
        <v>0</v>
      </c>
      <c r="G2433" s="267">
        <v>0</v>
      </c>
      <c r="H2433" s="267">
        <v>0</v>
      </c>
      <c r="I2433" s="267">
        <v>1</v>
      </c>
      <c r="J2433" s="267">
        <v>0</v>
      </c>
      <c r="K2433" s="273">
        <f t="shared" si="234"/>
        <v>0</v>
      </c>
      <c r="L2433" s="265"/>
    </row>
    <row r="2434" spans="1:12">
      <c r="A2434" s="285" t="s">
        <v>60</v>
      </c>
      <c r="B2434" s="267">
        <v>0</v>
      </c>
      <c r="C2434" s="267">
        <v>0</v>
      </c>
      <c r="D2434" s="267">
        <v>0</v>
      </c>
      <c r="E2434" s="267">
        <v>0</v>
      </c>
      <c r="F2434" s="267">
        <v>0</v>
      </c>
      <c r="G2434" s="267">
        <v>0.2</v>
      </c>
      <c r="H2434" s="267">
        <v>1</v>
      </c>
      <c r="I2434" s="267">
        <v>1</v>
      </c>
      <c r="J2434" s="267">
        <v>0</v>
      </c>
      <c r="K2434" s="273">
        <f t="shared" si="234"/>
        <v>0</v>
      </c>
      <c r="L2434" s="265"/>
    </row>
    <row r="2435" spans="1:12">
      <c r="A2435" s="285" t="s">
        <v>61</v>
      </c>
      <c r="B2435" s="267">
        <v>0</v>
      </c>
      <c r="C2435" s="267">
        <v>0</v>
      </c>
      <c r="D2435" s="267">
        <v>0</v>
      </c>
      <c r="E2435" s="267">
        <v>0</v>
      </c>
      <c r="F2435" s="267">
        <v>0</v>
      </c>
      <c r="G2435" s="267">
        <v>1</v>
      </c>
      <c r="H2435" s="267">
        <v>1</v>
      </c>
      <c r="I2435" s="267">
        <v>0</v>
      </c>
      <c r="J2435" s="267">
        <v>0</v>
      </c>
      <c r="K2435" s="273">
        <f t="shared" si="234"/>
        <v>0</v>
      </c>
      <c r="L2435" s="265"/>
    </row>
    <row r="2436" spans="1:12">
      <c r="A2436" s="285" t="s">
        <v>73</v>
      </c>
      <c r="B2436" s="267">
        <v>0</v>
      </c>
      <c r="C2436" s="267">
        <v>0</v>
      </c>
      <c r="D2436" s="267">
        <v>0</v>
      </c>
      <c r="E2436" s="267">
        <v>0.2</v>
      </c>
      <c r="F2436" s="267">
        <v>1</v>
      </c>
      <c r="G2436" s="267">
        <v>1</v>
      </c>
      <c r="H2436" s="267">
        <v>0</v>
      </c>
      <c r="I2436" s="267">
        <v>0</v>
      </c>
      <c r="J2436" s="267">
        <v>1</v>
      </c>
      <c r="K2436" s="273">
        <f t="shared" si="234"/>
        <v>0</v>
      </c>
      <c r="L2436" s="265"/>
    </row>
    <row r="2437" spans="1:12">
      <c r="A2437" s="285" t="s">
        <v>93</v>
      </c>
      <c r="B2437" s="267">
        <v>0</v>
      </c>
      <c r="C2437" s="267">
        <v>0</v>
      </c>
      <c r="D2437" s="267">
        <v>0</v>
      </c>
      <c r="E2437" s="267">
        <v>0</v>
      </c>
      <c r="F2437" s="267">
        <v>0</v>
      </c>
      <c r="G2437" s="267">
        <v>0</v>
      </c>
      <c r="H2437" s="267">
        <v>0</v>
      </c>
      <c r="I2437" s="267">
        <v>0</v>
      </c>
      <c r="J2437" s="267">
        <v>0</v>
      </c>
      <c r="K2437" s="273">
        <f t="shared" si="234"/>
        <v>0</v>
      </c>
      <c r="L2437" s="265"/>
    </row>
    <row r="2438" spans="1:12">
      <c r="A2438" s="285" t="s">
        <v>94</v>
      </c>
      <c r="B2438" s="267">
        <v>0</v>
      </c>
      <c r="C2438" s="267">
        <v>0</v>
      </c>
      <c r="D2438" s="267">
        <v>0</v>
      </c>
      <c r="E2438" s="267">
        <v>0</v>
      </c>
      <c r="F2438" s="267">
        <v>0</v>
      </c>
      <c r="G2438" s="267">
        <v>0</v>
      </c>
      <c r="H2438" s="267">
        <v>0</v>
      </c>
      <c r="I2438" s="267">
        <v>0</v>
      </c>
      <c r="J2438" s="267">
        <v>0</v>
      </c>
      <c r="K2438" s="273">
        <f t="shared" si="234"/>
        <v>0</v>
      </c>
      <c r="L2438" s="265"/>
    </row>
    <row r="2439" spans="1:12">
      <c r="A2439" s="285" t="s">
        <v>95</v>
      </c>
      <c r="B2439" s="267">
        <v>0</v>
      </c>
      <c r="C2439" s="267">
        <v>0</v>
      </c>
      <c r="D2439" s="267">
        <v>0</v>
      </c>
      <c r="E2439" s="267">
        <v>0</v>
      </c>
      <c r="F2439" s="267">
        <v>0</v>
      </c>
      <c r="G2439" s="267">
        <v>0</v>
      </c>
      <c r="H2439" s="267">
        <v>0</v>
      </c>
      <c r="I2439" s="267">
        <v>0</v>
      </c>
      <c r="J2439" s="267">
        <v>0</v>
      </c>
      <c r="K2439" s="273">
        <f t="shared" si="234"/>
        <v>0</v>
      </c>
      <c r="L2439" s="265"/>
    </row>
    <row r="2440" spans="1:12">
      <c r="A2440" s="285" t="s">
        <v>96</v>
      </c>
      <c r="B2440" s="267">
        <v>0</v>
      </c>
      <c r="C2440" s="267">
        <v>0</v>
      </c>
      <c r="D2440" s="267">
        <v>0</v>
      </c>
      <c r="E2440" s="267">
        <v>0</v>
      </c>
      <c r="F2440" s="267">
        <v>0</v>
      </c>
      <c r="G2440" s="267">
        <v>0</v>
      </c>
      <c r="H2440" s="267">
        <v>0</v>
      </c>
      <c r="I2440" s="267">
        <v>0</v>
      </c>
      <c r="J2440" s="267">
        <v>0</v>
      </c>
      <c r="K2440" s="273">
        <f t="shared" si="234"/>
        <v>0</v>
      </c>
      <c r="L2440" s="265"/>
    </row>
    <row r="2441" spans="1:12">
      <c r="A2441" s="285" t="s">
        <v>97</v>
      </c>
      <c r="B2441" s="267">
        <v>0</v>
      </c>
      <c r="C2441" s="267">
        <v>0</v>
      </c>
      <c r="D2441" s="267">
        <v>0</v>
      </c>
      <c r="E2441" s="267">
        <v>0</v>
      </c>
      <c r="F2441" s="267">
        <v>0</v>
      </c>
      <c r="G2441" s="267">
        <v>0</v>
      </c>
      <c r="H2441" s="267">
        <v>0</v>
      </c>
      <c r="I2441" s="267">
        <v>0</v>
      </c>
      <c r="J2441" s="267">
        <v>0</v>
      </c>
      <c r="K2441" s="273">
        <f t="shared" si="234"/>
        <v>0</v>
      </c>
      <c r="L2441" s="265"/>
    </row>
    <row r="2443" spans="1:12" ht="21" customHeight="1">
      <c r="A2443" s="1" t="s">
        <v>522</v>
      </c>
    </row>
    <row r="2444" spans="1:12">
      <c r="A2444" s="264" t="s">
        <v>217</v>
      </c>
    </row>
    <row r="2445" spans="1:12">
      <c r="A2445" s="269" t="s">
        <v>523</v>
      </c>
    </row>
    <row r="2446" spans="1:12">
      <c r="A2446" s="269" t="s">
        <v>524</v>
      </c>
    </row>
    <row r="2447" spans="1:12">
      <c r="A2447" s="269" t="s">
        <v>525</v>
      </c>
    </row>
    <row r="2448" spans="1:12">
      <c r="A2448" s="264" t="s">
        <v>257</v>
      </c>
    </row>
    <row r="2450" spans="1:11">
      <c r="B2450" s="284" t="s">
        <v>22</v>
      </c>
      <c r="C2450" s="284" t="s">
        <v>23</v>
      </c>
      <c r="D2450" s="284" t="s">
        <v>24</v>
      </c>
      <c r="E2450" s="284" t="s">
        <v>25</v>
      </c>
      <c r="F2450" s="284" t="s">
        <v>26</v>
      </c>
      <c r="G2450" s="284" t="s">
        <v>31</v>
      </c>
      <c r="H2450" s="284" t="s">
        <v>27</v>
      </c>
      <c r="I2450" s="284" t="s">
        <v>28</v>
      </c>
      <c r="J2450" s="284" t="s">
        <v>29</v>
      </c>
    </row>
    <row r="2451" spans="1:11">
      <c r="A2451" s="285" t="s">
        <v>54</v>
      </c>
      <c r="B2451" s="274">
        <f t="shared" ref="B2451:B2469" si="235">$B2423</f>
        <v>0</v>
      </c>
      <c r="C2451" s="274">
        <f t="shared" ref="C2451:C2469" si="236">$K2423</f>
        <v>0</v>
      </c>
      <c r="D2451" s="274">
        <f t="shared" ref="D2451:D2469" si="237">$D2423</f>
        <v>0</v>
      </c>
      <c r="E2451" s="274">
        <f t="shared" ref="E2451:E2469" si="238">$E2423</f>
        <v>0</v>
      </c>
      <c r="F2451" s="274">
        <f t="shared" ref="F2451:F2469" si="239">$F2423</f>
        <v>0</v>
      </c>
      <c r="G2451" s="267">
        <v>0</v>
      </c>
      <c r="H2451" s="274">
        <f t="shared" ref="H2451:H2469" si="240">$G2423</f>
        <v>0</v>
      </c>
      <c r="I2451" s="274">
        <f t="shared" ref="I2451:I2469" si="241">$H2423</f>
        <v>0</v>
      </c>
      <c r="J2451" s="274">
        <f t="shared" ref="J2451:J2469" si="242">$I2423</f>
        <v>1</v>
      </c>
      <c r="K2451" s="265"/>
    </row>
    <row r="2452" spans="1:11">
      <c r="A2452" s="285" t="s">
        <v>55</v>
      </c>
      <c r="B2452" s="274">
        <f t="shared" si="235"/>
        <v>0</v>
      </c>
      <c r="C2452" s="274">
        <f t="shared" si="236"/>
        <v>0</v>
      </c>
      <c r="D2452" s="274">
        <f t="shared" si="237"/>
        <v>0</v>
      </c>
      <c r="E2452" s="274">
        <f t="shared" si="238"/>
        <v>0</v>
      </c>
      <c r="F2452" s="274">
        <f t="shared" si="239"/>
        <v>0</v>
      </c>
      <c r="G2452" s="267">
        <v>0</v>
      </c>
      <c r="H2452" s="274">
        <f t="shared" si="240"/>
        <v>0</v>
      </c>
      <c r="I2452" s="274">
        <f t="shared" si="241"/>
        <v>0</v>
      </c>
      <c r="J2452" s="274">
        <f t="shared" si="242"/>
        <v>1</v>
      </c>
      <c r="K2452" s="265"/>
    </row>
    <row r="2453" spans="1:11">
      <c r="A2453" s="285" t="s">
        <v>91</v>
      </c>
      <c r="B2453" s="274">
        <f t="shared" si="235"/>
        <v>0</v>
      </c>
      <c r="C2453" s="274">
        <f t="shared" si="236"/>
        <v>0</v>
      </c>
      <c r="D2453" s="274">
        <f t="shared" si="237"/>
        <v>0</v>
      </c>
      <c r="E2453" s="274">
        <f t="shared" si="238"/>
        <v>0</v>
      </c>
      <c r="F2453" s="274">
        <f t="shared" si="239"/>
        <v>0</v>
      </c>
      <c r="G2453" s="267">
        <v>0</v>
      </c>
      <c r="H2453" s="274">
        <f t="shared" si="240"/>
        <v>0</v>
      </c>
      <c r="I2453" s="274">
        <f t="shared" si="241"/>
        <v>0</v>
      </c>
      <c r="J2453" s="274">
        <f t="shared" si="242"/>
        <v>1</v>
      </c>
      <c r="K2453" s="265"/>
    </row>
    <row r="2454" spans="1:11">
      <c r="A2454" s="285" t="s">
        <v>56</v>
      </c>
      <c r="B2454" s="274">
        <f t="shared" si="235"/>
        <v>0</v>
      </c>
      <c r="C2454" s="274">
        <f t="shared" si="236"/>
        <v>0</v>
      </c>
      <c r="D2454" s="274">
        <f t="shared" si="237"/>
        <v>0</v>
      </c>
      <c r="E2454" s="274">
        <f t="shared" si="238"/>
        <v>0</v>
      </c>
      <c r="F2454" s="274">
        <f t="shared" si="239"/>
        <v>0</v>
      </c>
      <c r="G2454" s="267">
        <v>0</v>
      </c>
      <c r="H2454" s="274">
        <f t="shared" si="240"/>
        <v>0</v>
      </c>
      <c r="I2454" s="274">
        <f t="shared" si="241"/>
        <v>0</v>
      </c>
      <c r="J2454" s="274">
        <f t="shared" si="242"/>
        <v>1</v>
      </c>
      <c r="K2454" s="265"/>
    </row>
    <row r="2455" spans="1:11">
      <c r="A2455" s="285" t="s">
        <v>57</v>
      </c>
      <c r="B2455" s="274">
        <f t="shared" si="235"/>
        <v>0</v>
      </c>
      <c r="C2455" s="274">
        <f t="shared" si="236"/>
        <v>0</v>
      </c>
      <c r="D2455" s="274">
        <f t="shared" si="237"/>
        <v>0</v>
      </c>
      <c r="E2455" s="274">
        <f t="shared" si="238"/>
        <v>0</v>
      </c>
      <c r="F2455" s="274">
        <f t="shared" si="239"/>
        <v>0</v>
      </c>
      <c r="G2455" s="267">
        <v>0</v>
      </c>
      <c r="H2455" s="274">
        <f t="shared" si="240"/>
        <v>0</v>
      </c>
      <c r="I2455" s="274">
        <f t="shared" si="241"/>
        <v>0</v>
      </c>
      <c r="J2455" s="274">
        <f t="shared" si="242"/>
        <v>1</v>
      </c>
      <c r="K2455" s="265"/>
    </row>
    <row r="2456" spans="1:11">
      <c r="A2456" s="285" t="s">
        <v>92</v>
      </c>
      <c r="B2456" s="274">
        <f t="shared" si="235"/>
        <v>0</v>
      </c>
      <c r="C2456" s="274">
        <f t="shared" si="236"/>
        <v>0</v>
      </c>
      <c r="D2456" s="274">
        <f t="shared" si="237"/>
        <v>0</v>
      </c>
      <c r="E2456" s="274">
        <f t="shared" si="238"/>
        <v>0</v>
      </c>
      <c r="F2456" s="274">
        <f t="shared" si="239"/>
        <v>0</v>
      </c>
      <c r="G2456" s="267">
        <v>0</v>
      </c>
      <c r="H2456" s="274">
        <f t="shared" si="240"/>
        <v>0</v>
      </c>
      <c r="I2456" s="274">
        <f t="shared" si="241"/>
        <v>0</v>
      </c>
      <c r="J2456" s="274">
        <f t="shared" si="242"/>
        <v>1</v>
      </c>
      <c r="K2456" s="265"/>
    </row>
    <row r="2457" spans="1:11">
      <c r="A2457" s="285" t="s">
        <v>58</v>
      </c>
      <c r="B2457" s="274">
        <f t="shared" si="235"/>
        <v>0</v>
      </c>
      <c r="C2457" s="274">
        <f t="shared" si="236"/>
        <v>0</v>
      </c>
      <c r="D2457" s="274">
        <f t="shared" si="237"/>
        <v>0</v>
      </c>
      <c r="E2457" s="274">
        <f t="shared" si="238"/>
        <v>0</v>
      </c>
      <c r="F2457" s="274">
        <f t="shared" si="239"/>
        <v>0</v>
      </c>
      <c r="G2457" s="267">
        <v>0</v>
      </c>
      <c r="H2457" s="274">
        <f t="shared" si="240"/>
        <v>0</v>
      </c>
      <c r="I2457" s="274">
        <f t="shared" si="241"/>
        <v>0</v>
      </c>
      <c r="J2457" s="274">
        <f t="shared" si="242"/>
        <v>1</v>
      </c>
      <c r="K2457" s="265"/>
    </row>
    <row r="2458" spans="1:11">
      <c r="A2458" s="285" t="s">
        <v>59</v>
      </c>
      <c r="B2458" s="274">
        <f t="shared" si="235"/>
        <v>0</v>
      </c>
      <c r="C2458" s="274">
        <f t="shared" si="236"/>
        <v>0</v>
      </c>
      <c r="D2458" s="274">
        <f t="shared" si="237"/>
        <v>0</v>
      </c>
      <c r="E2458" s="274">
        <f t="shared" si="238"/>
        <v>0</v>
      </c>
      <c r="F2458" s="274">
        <f t="shared" si="239"/>
        <v>0</v>
      </c>
      <c r="G2458" s="267">
        <v>0</v>
      </c>
      <c r="H2458" s="274">
        <f t="shared" si="240"/>
        <v>0</v>
      </c>
      <c r="I2458" s="274">
        <f t="shared" si="241"/>
        <v>1</v>
      </c>
      <c r="J2458" s="274">
        <f t="shared" si="242"/>
        <v>0</v>
      </c>
      <c r="K2458" s="265"/>
    </row>
    <row r="2459" spans="1:11">
      <c r="A2459" s="285" t="s">
        <v>72</v>
      </c>
      <c r="B2459" s="274">
        <f t="shared" si="235"/>
        <v>0</v>
      </c>
      <c r="C2459" s="274">
        <f t="shared" si="236"/>
        <v>0</v>
      </c>
      <c r="D2459" s="274">
        <f t="shared" si="237"/>
        <v>0</v>
      </c>
      <c r="E2459" s="274">
        <f t="shared" si="238"/>
        <v>0.2</v>
      </c>
      <c r="F2459" s="274">
        <f t="shared" si="239"/>
        <v>1</v>
      </c>
      <c r="G2459" s="267">
        <v>1</v>
      </c>
      <c r="H2459" s="274">
        <f t="shared" si="240"/>
        <v>1</v>
      </c>
      <c r="I2459" s="274">
        <f t="shared" si="241"/>
        <v>0</v>
      </c>
      <c r="J2459" s="274">
        <f t="shared" si="242"/>
        <v>0</v>
      </c>
      <c r="K2459" s="265"/>
    </row>
    <row r="2460" spans="1:11">
      <c r="A2460" s="285" t="s">
        <v>1178</v>
      </c>
      <c r="B2460" s="274">
        <f t="shared" si="235"/>
        <v>0</v>
      </c>
      <c r="C2460" s="274">
        <f t="shared" si="236"/>
        <v>0</v>
      </c>
      <c r="D2460" s="274">
        <f t="shared" si="237"/>
        <v>0</v>
      </c>
      <c r="E2460" s="274">
        <f t="shared" si="238"/>
        <v>0</v>
      </c>
      <c r="F2460" s="274">
        <f t="shared" si="239"/>
        <v>0</v>
      </c>
      <c r="G2460" s="267">
        <v>0</v>
      </c>
      <c r="H2460" s="274">
        <f t="shared" si="240"/>
        <v>0</v>
      </c>
      <c r="I2460" s="274">
        <f t="shared" si="241"/>
        <v>0</v>
      </c>
      <c r="J2460" s="274">
        <f t="shared" si="242"/>
        <v>1</v>
      </c>
      <c r="K2460" s="265"/>
    </row>
    <row r="2461" spans="1:11">
      <c r="A2461" s="285" t="s">
        <v>1177</v>
      </c>
      <c r="B2461" s="274">
        <f t="shared" si="235"/>
        <v>0</v>
      </c>
      <c r="C2461" s="274">
        <f t="shared" si="236"/>
        <v>0</v>
      </c>
      <c r="D2461" s="274">
        <f t="shared" si="237"/>
        <v>0</v>
      </c>
      <c r="E2461" s="274">
        <f t="shared" si="238"/>
        <v>0</v>
      </c>
      <c r="F2461" s="274">
        <f t="shared" si="239"/>
        <v>0</v>
      </c>
      <c r="G2461" s="267">
        <v>0</v>
      </c>
      <c r="H2461" s="274">
        <f t="shared" si="240"/>
        <v>0</v>
      </c>
      <c r="I2461" s="274">
        <f t="shared" si="241"/>
        <v>0</v>
      </c>
      <c r="J2461" s="274">
        <f t="shared" si="242"/>
        <v>1</v>
      </c>
      <c r="K2461" s="265"/>
    </row>
    <row r="2462" spans="1:11">
      <c r="A2462" s="285" t="s">
        <v>60</v>
      </c>
      <c r="B2462" s="274">
        <f t="shared" si="235"/>
        <v>0</v>
      </c>
      <c r="C2462" s="274">
        <f t="shared" si="236"/>
        <v>0</v>
      </c>
      <c r="D2462" s="274">
        <f t="shared" si="237"/>
        <v>0</v>
      </c>
      <c r="E2462" s="274">
        <f t="shared" si="238"/>
        <v>0</v>
      </c>
      <c r="F2462" s="274">
        <f t="shared" si="239"/>
        <v>0</v>
      </c>
      <c r="G2462" s="267">
        <v>0</v>
      </c>
      <c r="H2462" s="274">
        <f t="shared" si="240"/>
        <v>0.2</v>
      </c>
      <c r="I2462" s="274">
        <f t="shared" si="241"/>
        <v>1</v>
      </c>
      <c r="J2462" s="274">
        <f t="shared" si="242"/>
        <v>1</v>
      </c>
      <c r="K2462" s="265"/>
    </row>
    <row r="2463" spans="1:11">
      <c r="A2463" s="285" t="s">
        <v>61</v>
      </c>
      <c r="B2463" s="274">
        <f t="shared" si="235"/>
        <v>0</v>
      </c>
      <c r="C2463" s="274">
        <f t="shared" si="236"/>
        <v>0</v>
      </c>
      <c r="D2463" s="274">
        <f t="shared" si="237"/>
        <v>0</v>
      </c>
      <c r="E2463" s="274">
        <f t="shared" si="238"/>
        <v>0</v>
      </c>
      <c r="F2463" s="274">
        <f t="shared" si="239"/>
        <v>0</v>
      </c>
      <c r="G2463" s="267">
        <v>0</v>
      </c>
      <c r="H2463" s="274">
        <f t="shared" si="240"/>
        <v>1</v>
      </c>
      <c r="I2463" s="274">
        <f t="shared" si="241"/>
        <v>1</v>
      </c>
      <c r="J2463" s="274">
        <f t="shared" si="242"/>
        <v>0</v>
      </c>
      <c r="K2463" s="265"/>
    </row>
    <row r="2464" spans="1:11">
      <c r="A2464" s="285" t="s">
        <v>73</v>
      </c>
      <c r="B2464" s="274">
        <f t="shared" si="235"/>
        <v>0</v>
      </c>
      <c r="C2464" s="274">
        <f t="shared" si="236"/>
        <v>0</v>
      </c>
      <c r="D2464" s="274">
        <f t="shared" si="237"/>
        <v>0</v>
      </c>
      <c r="E2464" s="274">
        <f t="shared" si="238"/>
        <v>0.2</v>
      </c>
      <c r="F2464" s="274">
        <f t="shared" si="239"/>
        <v>1</v>
      </c>
      <c r="G2464" s="267">
        <v>1</v>
      </c>
      <c r="H2464" s="274">
        <f t="shared" si="240"/>
        <v>1</v>
      </c>
      <c r="I2464" s="274">
        <f t="shared" si="241"/>
        <v>0</v>
      </c>
      <c r="J2464" s="274">
        <f t="shared" si="242"/>
        <v>0</v>
      </c>
      <c r="K2464" s="265"/>
    </row>
    <row r="2465" spans="1:11">
      <c r="A2465" s="285" t="s">
        <v>93</v>
      </c>
      <c r="B2465" s="274">
        <f t="shared" si="235"/>
        <v>0</v>
      </c>
      <c r="C2465" s="274">
        <f t="shared" si="236"/>
        <v>0</v>
      </c>
      <c r="D2465" s="274">
        <f t="shared" si="237"/>
        <v>0</v>
      </c>
      <c r="E2465" s="274">
        <f t="shared" si="238"/>
        <v>0</v>
      </c>
      <c r="F2465" s="274">
        <f t="shared" si="239"/>
        <v>0</v>
      </c>
      <c r="G2465" s="267">
        <v>0</v>
      </c>
      <c r="H2465" s="274">
        <f t="shared" si="240"/>
        <v>0</v>
      </c>
      <c r="I2465" s="274">
        <f t="shared" si="241"/>
        <v>0</v>
      </c>
      <c r="J2465" s="274">
        <f t="shared" si="242"/>
        <v>0</v>
      </c>
      <c r="K2465" s="265"/>
    </row>
    <row r="2466" spans="1:11">
      <c r="A2466" s="285" t="s">
        <v>94</v>
      </c>
      <c r="B2466" s="274">
        <f t="shared" si="235"/>
        <v>0</v>
      </c>
      <c r="C2466" s="274">
        <f t="shared" si="236"/>
        <v>0</v>
      </c>
      <c r="D2466" s="274">
        <f t="shared" si="237"/>
        <v>0</v>
      </c>
      <c r="E2466" s="274">
        <f t="shared" si="238"/>
        <v>0</v>
      </c>
      <c r="F2466" s="274">
        <f t="shared" si="239"/>
        <v>0</v>
      </c>
      <c r="G2466" s="267">
        <v>0</v>
      </c>
      <c r="H2466" s="274">
        <f t="shared" si="240"/>
        <v>0</v>
      </c>
      <c r="I2466" s="274">
        <f t="shared" si="241"/>
        <v>0</v>
      </c>
      <c r="J2466" s="274">
        <f t="shared" si="242"/>
        <v>0</v>
      </c>
      <c r="K2466" s="265"/>
    </row>
    <row r="2467" spans="1:11">
      <c r="A2467" s="285" t="s">
        <v>95</v>
      </c>
      <c r="B2467" s="274">
        <f t="shared" si="235"/>
        <v>0</v>
      </c>
      <c r="C2467" s="274">
        <f t="shared" si="236"/>
        <v>0</v>
      </c>
      <c r="D2467" s="274">
        <f t="shared" si="237"/>
        <v>0</v>
      </c>
      <c r="E2467" s="274">
        <f t="shared" si="238"/>
        <v>0</v>
      </c>
      <c r="F2467" s="274">
        <f t="shared" si="239"/>
        <v>0</v>
      </c>
      <c r="G2467" s="267">
        <v>0</v>
      </c>
      <c r="H2467" s="274">
        <f t="shared" si="240"/>
        <v>0</v>
      </c>
      <c r="I2467" s="274">
        <f t="shared" si="241"/>
        <v>0</v>
      </c>
      <c r="J2467" s="274">
        <f t="shared" si="242"/>
        <v>0</v>
      </c>
      <c r="K2467" s="265"/>
    </row>
    <row r="2468" spans="1:11">
      <c r="A2468" s="285" t="s">
        <v>96</v>
      </c>
      <c r="B2468" s="274">
        <f t="shared" si="235"/>
        <v>0</v>
      </c>
      <c r="C2468" s="274">
        <f t="shared" si="236"/>
        <v>0</v>
      </c>
      <c r="D2468" s="274">
        <f t="shared" si="237"/>
        <v>0</v>
      </c>
      <c r="E2468" s="274">
        <f t="shared" si="238"/>
        <v>0</v>
      </c>
      <c r="F2468" s="274">
        <f t="shared" si="239"/>
        <v>0</v>
      </c>
      <c r="G2468" s="267">
        <v>0</v>
      </c>
      <c r="H2468" s="274">
        <f t="shared" si="240"/>
        <v>0</v>
      </c>
      <c r="I2468" s="274">
        <f t="shared" si="241"/>
        <v>0</v>
      </c>
      <c r="J2468" s="274">
        <f t="shared" si="242"/>
        <v>0</v>
      </c>
      <c r="K2468" s="265"/>
    </row>
    <row r="2469" spans="1:11">
      <c r="A2469" s="285" t="s">
        <v>97</v>
      </c>
      <c r="B2469" s="274">
        <f t="shared" si="235"/>
        <v>0</v>
      </c>
      <c r="C2469" s="274">
        <f t="shared" si="236"/>
        <v>0</v>
      </c>
      <c r="D2469" s="274">
        <f t="shared" si="237"/>
        <v>0</v>
      </c>
      <c r="E2469" s="274">
        <f t="shared" si="238"/>
        <v>0</v>
      </c>
      <c r="F2469" s="274">
        <f t="shared" si="239"/>
        <v>0</v>
      </c>
      <c r="G2469" s="267">
        <v>0</v>
      </c>
      <c r="H2469" s="274">
        <f t="shared" si="240"/>
        <v>0</v>
      </c>
      <c r="I2469" s="274">
        <f t="shared" si="241"/>
        <v>0</v>
      </c>
      <c r="J2469" s="274">
        <f t="shared" si="242"/>
        <v>0</v>
      </c>
      <c r="K2469" s="265"/>
    </row>
    <row r="2471" spans="1:11" ht="21" customHeight="1">
      <c r="A2471" s="1" t="s">
        <v>526</v>
      </c>
    </row>
    <row r="2472" spans="1:11">
      <c r="A2472" s="264" t="s">
        <v>217</v>
      </c>
    </row>
    <row r="2473" spans="1:11">
      <c r="A2473" s="269" t="s">
        <v>527</v>
      </c>
    </row>
    <row r="2474" spans="1:11">
      <c r="A2474" s="269" t="s">
        <v>1575</v>
      </c>
    </row>
    <row r="2475" spans="1:11">
      <c r="A2475" s="269" t="s">
        <v>679</v>
      </c>
    </row>
    <row r="2476" spans="1:11">
      <c r="A2476" s="269" t="s">
        <v>1576</v>
      </c>
    </row>
    <row r="2477" spans="1:11">
      <c r="A2477" s="269" t="s">
        <v>495</v>
      </c>
    </row>
    <row r="2478" spans="1:11">
      <c r="A2478" s="264" t="s">
        <v>1577</v>
      </c>
    </row>
    <row r="2480" spans="1:11">
      <c r="B2480" s="284" t="s">
        <v>22</v>
      </c>
      <c r="C2480" s="284" t="s">
        <v>23</v>
      </c>
      <c r="D2480" s="284" t="s">
        <v>24</v>
      </c>
      <c r="E2480" s="284" t="s">
        <v>25</v>
      </c>
      <c r="F2480" s="284" t="s">
        <v>26</v>
      </c>
      <c r="G2480" s="284" t="s">
        <v>31</v>
      </c>
      <c r="H2480" s="284" t="s">
        <v>27</v>
      </c>
      <c r="I2480" s="284" t="s">
        <v>28</v>
      </c>
      <c r="J2480" s="284" t="s">
        <v>29</v>
      </c>
    </row>
    <row r="2481" spans="1:11">
      <c r="A2481" s="285" t="s">
        <v>60</v>
      </c>
      <c r="B2481" s="275">
        <f t="shared" ref="B2481:J2481" si="243">($F$1279+$G$1279)*$E$14*B$2462*B$623</f>
        <v>0</v>
      </c>
      <c r="C2481" s="275">
        <f t="shared" si="243"/>
        <v>0</v>
      </c>
      <c r="D2481" s="275">
        <f t="shared" si="243"/>
        <v>0</v>
      </c>
      <c r="E2481" s="275">
        <f t="shared" si="243"/>
        <v>0</v>
      </c>
      <c r="F2481" s="275">
        <f t="shared" si="243"/>
        <v>0</v>
      </c>
      <c r="G2481" s="275">
        <f t="shared" si="243"/>
        <v>0</v>
      </c>
      <c r="H2481" s="275">
        <f t="shared" si="243"/>
        <v>135988.49557205252</v>
      </c>
      <c r="I2481" s="275">
        <f t="shared" si="243"/>
        <v>672812.48047564609</v>
      </c>
      <c r="J2481" s="275">
        <f t="shared" si="243"/>
        <v>664576.54615720583</v>
      </c>
      <c r="K2481" s="265"/>
    </row>
    <row r="2482" spans="1:11">
      <c r="A2482" s="285" t="s">
        <v>61</v>
      </c>
      <c r="B2482" s="275">
        <f t="shared" ref="B2482:J2482" si="244">($F$1280+$G$1280)*$E$14*B$2463*B$624</f>
        <v>0</v>
      </c>
      <c r="C2482" s="275">
        <f t="shared" si="244"/>
        <v>0</v>
      </c>
      <c r="D2482" s="275">
        <f t="shared" si="244"/>
        <v>0</v>
      </c>
      <c r="E2482" s="275">
        <f t="shared" si="244"/>
        <v>0</v>
      </c>
      <c r="F2482" s="275">
        <f t="shared" si="244"/>
        <v>0</v>
      </c>
      <c r="G2482" s="275">
        <f t="shared" si="244"/>
        <v>0</v>
      </c>
      <c r="H2482" s="275">
        <f t="shared" si="244"/>
        <v>355451.05080314155</v>
      </c>
      <c r="I2482" s="275">
        <f t="shared" si="244"/>
        <v>351723.72805878066</v>
      </c>
      <c r="J2482" s="275">
        <f t="shared" si="244"/>
        <v>0</v>
      </c>
      <c r="K2482" s="265"/>
    </row>
    <row r="2483" spans="1:11">
      <c r="A2483" s="285" t="s">
        <v>73</v>
      </c>
      <c r="B2483" s="275">
        <f t="shared" ref="B2483:J2483" si="245">($F$1281+$G$1281)*$E$14*B$2464*B$625</f>
        <v>0</v>
      </c>
      <c r="C2483" s="275">
        <f t="shared" si="245"/>
        <v>0</v>
      </c>
      <c r="D2483" s="275">
        <f t="shared" si="245"/>
        <v>0</v>
      </c>
      <c r="E2483" s="275">
        <f t="shared" si="245"/>
        <v>171055.90028355533</v>
      </c>
      <c r="F2483" s="275">
        <f t="shared" si="245"/>
        <v>847740.30894690496</v>
      </c>
      <c r="G2483" s="275">
        <f t="shared" si="245"/>
        <v>0</v>
      </c>
      <c r="H2483" s="275">
        <f t="shared" si="245"/>
        <v>833856.31544777437</v>
      </c>
      <c r="I2483" s="275">
        <f t="shared" si="245"/>
        <v>0</v>
      </c>
      <c r="J2483" s="275">
        <f t="shared" si="245"/>
        <v>0</v>
      </c>
      <c r="K2483" s="265"/>
    </row>
    <row r="2485" spans="1:11" ht="21" customHeight="1">
      <c r="A2485" s="1" t="s">
        <v>530</v>
      </c>
    </row>
    <row r="2486" spans="1:11">
      <c r="A2486" s="264" t="s">
        <v>217</v>
      </c>
    </row>
    <row r="2487" spans="1:11">
      <c r="A2487" s="269" t="s">
        <v>429</v>
      </c>
    </row>
    <row r="2488" spans="1:11">
      <c r="A2488" s="269" t="s">
        <v>357</v>
      </c>
    </row>
    <row r="2489" spans="1:11">
      <c r="A2489" s="269" t="s">
        <v>528</v>
      </c>
    </row>
    <row r="2490" spans="1:11">
      <c r="A2490" s="269" t="s">
        <v>529</v>
      </c>
    </row>
    <row r="2491" spans="1:11">
      <c r="A2491" s="269" t="s">
        <v>480</v>
      </c>
    </row>
    <row r="2492" spans="1:11">
      <c r="A2492" s="264" t="s">
        <v>531</v>
      </c>
    </row>
    <row r="2494" spans="1:11">
      <c r="B2494" s="284" t="s">
        <v>22</v>
      </c>
      <c r="C2494" s="284" t="s">
        <v>23</v>
      </c>
      <c r="D2494" s="284" t="s">
        <v>24</v>
      </c>
      <c r="E2494" s="284" t="s">
        <v>25</v>
      </c>
      <c r="F2494" s="284" t="s">
        <v>26</v>
      </c>
      <c r="G2494" s="284" t="s">
        <v>31</v>
      </c>
      <c r="H2494" s="284" t="s">
        <v>27</v>
      </c>
      <c r="I2494" s="284" t="s">
        <v>28</v>
      </c>
      <c r="J2494" s="284" t="s">
        <v>29</v>
      </c>
    </row>
    <row r="2495" spans="1:11">
      <c r="A2495" s="285" t="s">
        <v>54</v>
      </c>
      <c r="B2495" s="275">
        <f t="shared" ref="B2495:J2495" si="246">$B$1429/$C$122*B$2451*B$612/(24*$F$14)*1000</f>
        <v>0</v>
      </c>
      <c r="C2495" s="275">
        <f t="shared" si="246"/>
        <v>0</v>
      </c>
      <c r="D2495" s="275">
        <f t="shared" si="246"/>
        <v>0</v>
      </c>
      <c r="E2495" s="275">
        <f t="shared" si="246"/>
        <v>0</v>
      </c>
      <c r="F2495" s="275">
        <f t="shared" si="246"/>
        <v>0</v>
      </c>
      <c r="G2495" s="275">
        <f t="shared" si="246"/>
        <v>0</v>
      </c>
      <c r="H2495" s="275">
        <f t="shared" si="246"/>
        <v>0</v>
      </c>
      <c r="I2495" s="275">
        <f t="shared" si="246"/>
        <v>0</v>
      </c>
      <c r="J2495" s="275">
        <f t="shared" si="246"/>
        <v>1182871.8941256024</v>
      </c>
      <c r="K2495" s="265"/>
    </row>
    <row r="2496" spans="1:11">
      <c r="A2496" s="285" t="s">
        <v>55</v>
      </c>
      <c r="B2496" s="275">
        <f t="shared" ref="B2496:J2496" si="247">$B$1430/$C$123*B$2452*B$613/(24*$F$14)*1000</f>
        <v>0</v>
      </c>
      <c r="C2496" s="275">
        <f t="shared" si="247"/>
        <v>0</v>
      </c>
      <c r="D2496" s="275">
        <f t="shared" si="247"/>
        <v>0</v>
      </c>
      <c r="E2496" s="275">
        <f t="shared" si="247"/>
        <v>0</v>
      </c>
      <c r="F2496" s="275">
        <f t="shared" si="247"/>
        <v>0</v>
      </c>
      <c r="G2496" s="275">
        <f t="shared" si="247"/>
        <v>0</v>
      </c>
      <c r="H2496" s="275">
        <f t="shared" si="247"/>
        <v>0</v>
      </c>
      <c r="I2496" s="275">
        <f t="shared" si="247"/>
        <v>0</v>
      </c>
      <c r="J2496" s="275">
        <f t="shared" si="247"/>
        <v>563841.85887577839</v>
      </c>
      <c r="K2496" s="265"/>
    </row>
    <row r="2497" spans="1:11">
      <c r="A2497" s="285" t="s">
        <v>56</v>
      </c>
      <c r="B2497" s="275">
        <f t="shared" ref="B2497:J2497" si="248">$B$1432/$C$125*B$2454*B$615/(24*$F$14)*1000</f>
        <v>0</v>
      </c>
      <c r="C2497" s="275">
        <f t="shared" si="248"/>
        <v>0</v>
      </c>
      <c r="D2497" s="275">
        <f t="shared" si="248"/>
        <v>0</v>
      </c>
      <c r="E2497" s="275">
        <f t="shared" si="248"/>
        <v>0</v>
      </c>
      <c r="F2497" s="275">
        <f t="shared" si="248"/>
        <v>0</v>
      </c>
      <c r="G2497" s="275">
        <f t="shared" si="248"/>
        <v>0</v>
      </c>
      <c r="H2497" s="275">
        <f t="shared" si="248"/>
        <v>0</v>
      </c>
      <c r="I2497" s="275">
        <f t="shared" si="248"/>
        <v>0</v>
      </c>
      <c r="J2497" s="275">
        <f t="shared" si="248"/>
        <v>344679.1575043652</v>
      </c>
      <c r="K2497" s="265"/>
    </row>
    <row r="2498" spans="1:11">
      <c r="A2498" s="285" t="s">
        <v>57</v>
      </c>
      <c r="B2498" s="275">
        <f t="shared" ref="B2498:J2498" si="249">$B$1433/$C$126*B$2455*B$616/(24*$F$14)*1000</f>
        <v>0</v>
      </c>
      <c r="C2498" s="275">
        <f t="shared" si="249"/>
        <v>0</v>
      </c>
      <c r="D2498" s="275">
        <f t="shared" si="249"/>
        <v>0</v>
      </c>
      <c r="E2498" s="275">
        <f t="shared" si="249"/>
        <v>0</v>
      </c>
      <c r="F2498" s="275">
        <f t="shared" si="249"/>
        <v>0</v>
      </c>
      <c r="G2498" s="275">
        <f t="shared" si="249"/>
        <v>0</v>
      </c>
      <c r="H2498" s="275">
        <f t="shared" si="249"/>
        <v>0</v>
      </c>
      <c r="I2498" s="275">
        <f t="shared" si="249"/>
        <v>0</v>
      </c>
      <c r="J2498" s="275">
        <f t="shared" si="249"/>
        <v>153963.13653224782</v>
      </c>
      <c r="K2498" s="265"/>
    </row>
    <row r="2499" spans="1:11">
      <c r="A2499" s="285" t="s">
        <v>58</v>
      </c>
      <c r="B2499" s="275">
        <f t="shared" ref="B2499:J2499" si="250">$B$1435/$C$128*B$2457*B$618/(24*$F$14)*1000</f>
        <v>0</v>
      </c>
      <c r="C2499" s="275">
        <f t="shared" si="250"/>
        <v>0</v>
      </c>
      <c r="D2499" s="275">
        <f t="shared" si="250"/>
        <v>0</v>
      </c>
      <c r="E2499" s="275">
        <f t="shared" si="250"/>
        <v>0</v>
      </c>
      <c r="F2499" s="275">
        <f t="shared" si="250"/>
        <v>0</v>
      </c>
      <c r="G2499" s="275">
        <f t="shared" si="250"/>
        <v>0</v>
      </c>
      <c r="H2499" s="275">
        <f t="shared" si="250"/>
        <v>0</v>
      </c>
      <c r="I2499" s="275">
        <f t="shared" si="250"/>
        <v>0</v>
      </c>
      <c r="J2499" s="275">
        <f t="shared" si="250"/>
        <v>1.9230957066198646E-4</v>
      </c>
      <c r="K2499" s="265"/>
    </row>
    <row r="2500" spans="1:11">
      <c r="A2500" s="285" t="s">
        <v>59</v>
      </c>
      <c r="B2500" s="275">
        <f t="shared" ref="B2500:J2500" si="251">$B$1436/$C$129*B$2458*B$619/(24*$F$14)*1000</f>
        <v>0</v>
      </c>
      <c r="C2500" s="275">
        <f t="shared" si="251"/>
        <v>0</v>
      </c>
      <c r="D2500" s="275">
        <f t="shared" si="251"/>
        <v>0</v>
      </c>
      <c r="E2500" s="275">
        <f t="shared" si="251"/>
        <v>0</v>
      </c>
      <c r="F2500" s="275">
        <f t="shared" si="251"/>
        <v>0</v>
      </c>
      <c r="G2500" s="275">
        <f t="shared" si="251"/>
        <v>0</v>
      </c>
      <c r="H2500" s="275">
        <f t="shared" si="251"/>
        <v>0</v>
      </c>
      <c r="I2500" s="275">
        <f t="shared" si="251"/>
        <v>1.9023019969575559E-4</v>
      </c>
      <c r="J2500" s="275">
        <f t="shared" si="251"/>
        <v>0</v>
      </c>
      <c r="K2500" s="265"/>
    </row>
    <row r="2501" spans="1:11">
      <c r="A2501" s="285" t="s">
        <v>72</v>
      </c>
      <c r="B2501" s="275">
        <f t="shared" ref="B2501:J2501" si="252">$B$1437/$C$130*B$2459*B$620/(24*$F$14)*1000</f>
        <v>0</v>
      </c>
      <c r="C2501" s="275">
        <f t="shared" si="252"/>
        <v>0</v>
      </c>
      <c r="D2501" s="275">
        <f t="shared" si="252"/>
        <v>0</v>
      </c>
      <c r="E2501" s="275">
        <f t="shared" si="252"/>
        <v>5.147765493430754E-5</v>
      </c>
      <c r="F2501" s="275">
        <f t="shared" si="252"/>
        <v>2.5511942602115194E-4</v>
      </c>
      <c r="G2501" s="275">
        <f t="shared" si="252"/>
        <v>0</v>
      </c>
      <c r="H2501" s="275">
        <f t="shared" si="252"/>
        <v>2.5094116952562251E-4</v>
      </c>
      <c r="I2501" s="275">
        <f t="shared" si="252"/>
        <v>0</v>
      </c>
      <c r="J2501" s="275">
        <f t="shared" si="252"/>
        <v>0</v>
      </c>
      <c r="K2501" s="265"/>
    </row>
    <row r="2502" spans="1:11">
      <c r="A2502" s="285" t="s">
        <v>1178</v>
      </c>
      <c r="B2502" s="275">
        <f t="shared" ref="B2502:J2502" si="253">$B$1438/$C$131*B$2460*B$621/(24*$F$14)*1000</f>
        <v>0</v>
      </c>
      <c r="C2502" s="275">
        <f t="shared" si="253"/>
        <v>0</v>
      </c>
      <c r="D2502" s="275">
        <f t="shared" si="253"/>
        <v>0</v>
      </c>
      <c r="E2502" s="275">
        <f t="shared" si="253"/>
        <v>0</v>
      </c>
      <c r="F2502" s="275">
        <f t="shared" si="253"/>
        <v>0</v>
      </c>
      <c r="G2502" s="275">
        <f t="shared" si="253"/>
        <v>0</v>
      </c>
      <c r="H2502" s="275">
        <f t="shared" si="253"/>
        <v>0</v>
      </c>
      <c r="I2502" s="275">
        <f t="shared" si="253"/>
        <v>0</v>
      </c>
      <c r="J2502" s="275">
        <f t="shared" si="253"/>
        <v>3.8325764319868103E-2</v>
      </c>
      <c r="K2502" s="265"/>
    </row>
    <row r="2503" spans="1:11">
      <c r="A2503" s="285" t="s">
        <v>1177</v>
      </c>
      <c r="B2503" s="275">
        <f t="shared" ref="B2503:J2503" si="254">$B$1439/$C$132*B$2461*B$622/(24*$F$14)*1000</f>
        <v>0</v>
      </c>
      <c r="C2503" s="275">
        <f t="shared" si="254"/>
        <v>0</v>
      </c>
      <c r="D2503" s="275">
        <f t="shared" si="254"/>
        <v>0</v>
      </c>
      <c r="E2503" s="275">
        <f t="shared" si="254"/>
        <v>0</v>
      </c>
      <c r="F2503" s="275">
        <f t="shared" si="254"/>
        <v>0</v>
      </c>
      <c r="G2503" s="275">
        <f t="shared" si="254"/>
        <v>0</v>
      </c>
      <c r="H2503" s="275">
        <f t="shared" si="254"/>
        <v>0</v>
      </c>
      <c r="I2503" s="275">
        <f t="shared" si="254"/>
        <v>0</v>
      </c>
      <c r="J2503" s="275">
        <f t="shared" si="254"/>
        <v>120262.55521849646</v>
      </c>
      <c r="K2503" s="265"/>
    </row>
    <row r="2505" spans="1:11" ht="21" customHeight="1">
      <c r="A2505" s="1" t="s">
        <v>532</v>
      </c>
    </row>
    <row r="2506" spans="1:11">
      <c r="A2506" s="264" t="s">
        <v>217</v>
      </c>
    </row>
    <row r="2507" spans="1:11">
      <c r="A2507" s="269" t="s">
        <v>533</v>
      </c>
    </row>
    <row r="2508" spans="1:11">
      <c r="A2508" s="269" t="s">
        <v>534</v>
      </c>
    </row>
    <row r="2509" spans="1:11">
      <c r="A2509" s="264" t="s">
        <v>235</v>
      </c>
    </row>
    <row r="2511" spans="1:11">
      <c r="B2511" s="284" t="s">
        <v>22</v>
      </c>
      <c r="C2511" s="284" t="s">
        <v>23</v>
      </c>
      <c r="D2511" s="284" t="s">
        <v>24</v>
      </c>
      <c r="E2511" s="284" t="s">
        <v>25</v>
      </c>
      <c r="F2511" s="284" t="s">
        <v>26</v>
      </c>
      <c r="G2511" s="284" t="s">
        <v>31</v>
      </c>
      <c r="H2511" s="284" t="s">
        <v>27</v>
      </c>
      <c r="I2511" s="284" t="s">
        <v>28</v>
      </c>
      <c r="J2511" s="284" t="s">
        <v>29</v>
      </c>
    </row>
    <row r="2512" spans="1:11">
      <c r="A2512" s="285" t="s">
        <v>54</v>
      </c>
      <c r="B2512" s="276">
        <f t="shared" ref="B2512:J2512" si="255">B$2495</f>
        <v>0</v>
      </c>
      <c r="C2512" s="276">
        <f t="shared" si="255"/>
        <v>0</v>
      </c>
      <c r="D2512" s="276">
        <f t="shared" si="255"/>
        <v>0</v>
      </c>
      <c r="E2512" s="276">
        <f t="shared" si="255"/>
        <v>0</v>
      </c>
      <c r="F2512" s="276">
        <f t="shared" si="255"/>
        <v>0</v>
      </c>
      <c r="G2512" s="276">
        <f t="shared" si="255"/>
        <v>0</v>
      </c>
      <c r="H2512" s="276">
        <f t="shared" si="255"/>
        <v>0</v>
      </c>
      <c r="I2512" s="276">
        <f t="shared" si="255"/>
        <v>0</v>
      </c>
      <c r="J2512" s="276">
        <f t="shared" si="255"/>
        <v>1182871.8941256024</v>
      </c>
      <c r="K2512" s="265"/>
    </row>
    <row r="2513" spans="1:11">
      <c r="A2513" s="285" t="s">
        <v>55</v>
      </c>
      <c r="B2513" s="276">
        <f t="shared" ref="B2513:J2513" si="256">B$2496</f>
        <v>0</v>
      </c>
      <c r="C2513" s="276">
        <f t="shared" si="256"/>
        <v>0</v>
      </c>
      <c r="D2513" s="276">
        <f t="shared" si="256"/>
        <v>0</v>
      </c>
      <c r="E2513" s="276">
        <f t="shared" si="256"/>
        <v>0</v>
      </c>
      <c r="F2513" s="276">
        <f t="shared" si="256"/>
        <v>0</v>
      </c>
      <c r="G2513" s="276">
        <f t="shared" si="256"/>
        <v>0</v>
      </c>
      <c r="H2513" s="276">
        <f t="shared" si="256"/>
        <v>0</v>
      </c>
      <c r="I2513" s="276">
        <f t="shared" si="256"/>
        <v>0</v>
      </c>
      <c r="J2513" s="276">
        <f t="shared" si="256"/>
        <v>563841.85887577839</v>
      </c>
      <c r="K2513" s="265"/>
    </row>
    <row r="2514" spans="1:11">
      <c r="A2514" s="285" t="s">
        <v>56</v>
      </c>
      <c r="B2514" s="276">
        <f t="shared" ref="B2514:J2514" si="257">B$2497</f>
        <v>0</v>
      </c>
      <c r="C2514" s="276">
        <f t="shared" si="257"/>
        <v>0</v>
      </c>
      <c r="D2514" s="276">
        <f t="shared" si="257"/>
        <v>0</v>
      </c>
      <c r="E2514" s="276">
        <f t="shared" si="257"/>
        <v>0</v>
      </c>
      <c r="F2514" s="276">
        <f t="shared" si="257"/>
        <v>0</v>
      </c>
      <c r="G2514" s="276">
        <f t="shared" si="257"/>
        <v>0</v>
      </c>
      <c r="H2514" s="276">
        <f t="shared" si="257"/>
        <v>0</v>
      </c>
      <c r="I2514" s="276">
        <f t="shared" si="257"/>
        <v>0</v>
      </c>
      <c r="J2514" s="276">
        <f t="shared" si="257"/>
        <v>344679.1575043652</v>
      </c>
      <c r="K2514" s="265"/>
    </row>
    <row r="2515" spans="1:11">
      <c r="A2515" s="285" t="s">
        <v>57</v>
      </c>
      <c r="B2515" s="276">
        <f t="shared" ref="B2515:J2515" si="258">B$2498</f>
        <v>0</v>
      </c>
      <c r="C2515" s="276">
        <f t="shared" si="258"/>
        <v>0</v>
      </c>
      <c r="D2515" s="276">
        <f t="shared" si="258"/>
        <v>0</v>
      </c>
      <c r="E2515" s="276">
        <f t="shared" si="258"/>
        <v>0</v>
      </c>
      <c r="F2515" s="276">
        <f t="shared" si="258"/>
        <v>0</v>
      </c>
      <c r="G2515" s="276">
        <f t="shared" si="258"/>
        <v>0</v>
      </c>
      <c r="H2515" s="276">
        <f t="shared" si="258"/>
        <v>0</v>
      </c>
      <c r="I2515" s="276">
        <f t="shared" si="258"/>
        <v>0</v>
      </c>
      <c r="J2515" s="276">
        <f t="shared" si="258"/>
        <v>153963.13653224782</v>
      </c>
      <c r="K2515" s="265"/>
    </row>
    <row r="2516" spans="1:11">
      <c r="A2516" s="285" t="s">
        <v>58</v>
      </c>
      <c r="B2516" s="276">
        <f t="shared" ref="B2516:J2516" si="259">B$2499</f>
        <v>0</v>
      </c>
      <c r="C2516" s="276">
        <f t="shared" si="259"/>
        <v>0</v>
      </c>
      <c r="D2516" s="276">
        <f t="shared" si="259"/>
        <v>0</v>
      </c>
      <c r="E2516" s="276">
        <f t="shared" si="259"/>
        <v>0</v>
      </c>
      <c r="F2516" s="276">
        <f t="shared" si="259"/>
        <v>0</v>
      </c>
      <c r="G2516" s="276">
        <f t="shared" si="259"/>
        <v>0</v>
      </c>
      <c r="H2516" s="276">
        <f t="shared" si="259"/>
        <v>0</v>
      </c>
      <c r="I2516" s="276">
        <f t="shared" si="259"/>
        <v>0</v>
      </c>
      <c r="J2516" s="276">
        <f t="shared" si="259"/>
        <v>1.9230957066198646E-4</v>
      </c>
      <c r="K2516" s="265"/>
    </row>
    <row r="2517" spans="1:11">
      <c r="A2517" s="285" t="s">
        <v>59</v>
      </c>
      <c r="B2517" s="276">
        <f t="shared" ref="B2517:J2517" si="260">B$2500</f>
        <v>0</v>
      </c>
      <c r="C2517" s="276">
        <f t="shared" si="260"/>
        <v>0</v>
      </c>
      <c r="D2517" s="276">
        <f t="shared" si="260"/>
        <v>0</v>
      </c>
      <c r="E2517" s="276">
        <f t="shared" si="260"/>
        <v>0</v>
      </c>
      <c r="F2517" s="276">
        <f t="shared" si="260"/>
        <v>0</v>
      </c>
      <c r="G2517" s="276">
        <f t="shared" si="260"/>
        <v>0</v>
      </c>
      <c r="H2517" s="276">
        <f t="shared" si="260"/>
        <v>0</v>
      </c>
      <c r="I2517" s="276">
        <f t="shared" si="260"/>
        <v>1.9023019969575559E-4</v>
      </c>
      <c r="J2517" s="276">
        <f t="shared" si="260"/>
        <v>0</v>
      </c>
      <c r="K2517" s="265"/>
    </row>
    <row r="2518" spans="1:11">
      <c r="A2518" s="285" t="s">
        <v>72</v>
      </c>
      <c r="B2518" s="276">
        <f t="shared" ref="B2518:J2518" si="261">B$2501</f>
        <v>0</v>
      </c>
      <c r="C2518" s="276">
        <f t="shared" si="261"/>
        <v>0</v>
      </c>
      <c r="D2518" s="276">
        <f t="shared" si="261"/>
        <v>0</v>
      </c>
      <c r="E2518" s="276">
        <f t="shared" si="261"/>
        <v>5.147765493430754E-5</v>
      </c>
      <c r="F2518" s="276">
        <f t="shared" si="261"/>
        <v>2.5511942602115194E-4</v>
      </c>
      <c r="G2518" s="276">
        <f t="shared" si="261"/>
        <v>0</v>
      </c>
      <c r="H2518" s="276">
        <f t="shared" si="261"/>
        <v>2.5094116952562251E-4</v>
      </c>
      <c r="I2518" s="276">
        <f t="shared" si="261"/>
        <v>0</v>
      </c>
      <c r="J2518" s="276">
        <f t="shared" si="261"/>
        <v>0</v>
      </c>
      <c r="K2518" s="265"/>
    </row>
    <row r="2519" spans="1:11">
      <c r="A2519" s="285" t="s">
        <v>1178</v>
      </c>
      <c r="B2519" s="276">
        <f t="shared" ref="B2519:J2519" si="262">B$2502</f>
        <v>0</v>
      </c>
      <c r="C2519" s="276">
        <f t="shared" si="262"/>
        <v>0</v>
      </c>
      <c r="D2519" s="276">
        <f t="shared" si="262"/>
        <v>0</v>
      </c>
      <c r="E2519" s="276">
        <f t="shared" si="262"/>
        <v>0</v>
      </c>
      <c r="F2519" s="276">
        <f t="shared" si="262"/>
        <v>0</v>
      </c>
      <c r="G2519" s="276">
        <f t="shared" si="262"/>
        <v>0</v>
      </c>
      <c r="H2519" s="276">
        <f t="shared" si="262"/>
        <v>0</v>
      </c>
      <c r="I2519" s="276">
        <f t="shared" si="262"/>
        <v>0</v>
      </c>
      <c r="J2519" s="276">
        <f t="shared" si="262"/>
        <v>3.8325764319868103E-2</v>
      </c>
      <c r="K2519" s="265"/>
    </row>
    <row r="2520" spans="1:11">
      <c r="A2520" s="285" t="s">
        <v>1177</v>
      </c>
      <c r="B2520" s="276">
        <f t="shared" ref="B2520:J2520" si="263">B$2503</f>
        <v>0</v>
      </c>
      <c r="C2520" s="276">
        <f t="shared" si="263"/>
        <v>0</v>
      </c>
      <c r="D2520" s="276">
        <f t="shared" si="263"/>
        <v>0</v>
      </c>
      <c r="E2520" s="276">
        <f t="shared" si="263"/>
        <v>0</v>
      </c>
      <c r="F2520" s="276">
        <f t="shared" si="263"/>
        <v>0</v>
      </c>
      <c r="G2520" s="276">
        <f t="shared" si="263"/>
        <v>0</v>
      </c>
      <c r="H2520" s="276">
        <f t="shared" si="263"/>
        <v>0</v>
      </c>
      <c r="I2520" s="276">
        <f t="shared" si="263"/>
        <v>0</v>
      </c>
      <c r="J2520" s="276">
        <f t="shared" si="263"/>
        <v>120262.55521849646</v>
      </c>
      <c r="K2520" s="265"/>
    </row>
    <row r="2521" spans="1:11">
      <c r="A2521" s="285" t="s">
        <v>60</v>
      </c>
      <c r="B2521" s="276">
        <f t="shared" ref="B2521:J2521" si="264">B$2481</f>
        <v>0</v>
      </c>
      <c r="C2521" s="276">
        <f t="shared" si="264"/>
        <v>0</v>
      </c>
      <c r="D2521" s="276">
        <f t="shared" si="264"/>
        <v>0</v>
      </c>
      <c r="E2521" s="276">
        <f t="shared" si="264"/>
        <v>0</v>
      </c>
      <c r="F2521" s="276">
        <f t="shared" si="264"/>
        <v>0</v>
      </c>
      <c r="G2521" s="276">
        <f t="shared" si="264"/>
        <v>0</v>
      </c>
      <c r="H2521" s="276">
        <f t="shared" si="264"/>
        <v>135988.49557205252</v>
      </c>
      <c r="I2521" s="276">
        <f t="shared" si="264"/>
        <v>672812.48047564609</v>
      </c>
      <c r="J2521" s="276">
        <f t="shared" si="264"/>
        <v>664576.54615720583</v>
      </c>
      <c r="K2521" s="265"/>
    </row>
    <row r="2522" spans="1:11">
      <c r="A2522" s="285" t="s">
        <v>61</v>
      </c>
      <c r="B2522" s="276">
        <f t="shared" ref="B2522:J2522" si="265">B$2482</f>
        <v>0</v>
      </c>
      <c r="C2522" s="276">
        <f t="shared" si="265"/>
        <v>0</v>
      </c>
      <c r="D2522" s="276">
        <f t="shared" si="265"/>
        <v>0</v>
      </c>
      <c r="E2522" s="276">
        <f t="shared" si="265"/>
        <v>0</v>
      </c>
      <c r="F2522" s="276">
        <f t="shared" si="265"/>
        <v>0</v>
      </c>
      <c r="G2522" s="276">
        <f t="shared" si="265"/>
        <v>0</v>
      </c>
      <c r="H2522" s="276">
        <f t="shared" si="265"/>
        <v>355451.05080314155</v>
      </c>
      <c r="I2522" s="276">
        <f t="shared" si="265"/>
        <v>351723.72805878066</v>
      </c>
      <c r="J2522" s="276">
        <f t="shared" si="265"/>
        <v>0</v>
      </c>
      <c r="K2522" s="265"/>
    </row>
    <row r="2523" spans="1:11">
      <c r="A2523" s="285" t="s">
        <v>73</v>
      </c>
      <c r="B2523" s="276">
        <f t="shared" ref="B2523:J2523" si="266">B$2483</f>
        <v>0</v>
      </c>
      <c r="C2523" s="276">
        <f t="shared" si="266"/>
        <v>0</v>
      </c>
      <c r="D2523" s="276">
        <f t="shared" si="266"/>
        <v>0</v>
      </c>
      <c r="E2523" s="276">
        <f t="shared" si="266"/>
        <v>171055.90028355533</v>
      </c>
      <c r="F2523" s="276">
        <f t="shared" si="266"/>
        <v>847740.30894690496</v>
      </c>
      <c r="G2523" s="276">
        <f t="shared" si="266"/>
        <v>0</v>
      </c>
      <c r="H2523" s="276">
        <f t="shared" si="266"/>
        <v>833856.31544777437</v>
      </c>
      <c r="I2523" s="276">
        <f t="shared" si="266"/>
        <v>0</v>
      </c>
      <c r="J2523" s="276">
        <f t="shared" si="266"/>
        <v>0</v>
      </c>
      <c r="K2523" s="265"/>
    </row>
    <row r="2525" spans="1:11" ht="21" customHeight="1">
      <c r="A2525" s="1" t="s">
        <v>535</v>
      </c>
    </row>
    <row r="2526" spans="1:11">
      <c r="A2526" s="264" t="s">
        <v>217</v>
      </c>
    </row>
    <row r="2527" spans="1:11">
      <c r="A2527" s="269" t="s">
        <v>536</v>
      </c>
    </row>
    <row r="2528" spans="1:11">
      <c r="A2528" s="264" t="s">
        <v>512</v>
      </c>
    </row>
    <row r="2530" spans="1:11">
      <c r="B2530" s="284" t="s">
        <v>22</v>
      </c>
      <c r="C2530" s="284" t="s">
        <v>23</v>
      </c>
      <c r="D2530" s="284" t="s">
        <v>24</v>
      </c>
      <c r="E2530" s="284" t="s">
        <v>25</v>
      </c>
      <c r="F2530" s="284" t="s">
        <v>26</v>
      </c>
      <c r="G2530" s="284" t="s">
        <v>31</v>
      </c>
      <c r="H2530" s="284" t="s">
        <v>27</v>
      </c>
      <c r="I2530" s="284" t="s">
        <v>28</v>
      </c>
      <c r="J2530" s="284" t="s">
        <v>29</v>
      </c>
    </row>
    <row r="2531" spans="1:11">
      <c r="A2531" s="285" t="s">
        <v>537</v>
      </c>
      <c r="B2531" s="275">
        <f t="shared" ref="B2531:J2531" si="267">SUM(B$2512:B$2523)</f>
        <v>0</v>
      </c>
      <c r="C2531" s="275">
        <f t="shared" si="267"/>
        <v>0</v>
      </c>
      <c r="D2531" s="275">
        <f t="shared" si="267"/>
        <v>0</v>
      </c>
      <c r="E2531" s="275">
        <f t="shared" si="267"/>
        <v>171055.90033503299</v>
      </c>
      <c r="F2531" s="275">
        <f t="shared" si="267"/>
        <v>847740.30920202436</v>
      </c>
      <c r="G2531" s="275">
        <f t="shared" si="267"/>
        <v>0</v>
      </c>
      <c r="H2531" s="275">
        <f t="shared" si="267"/>
        <v>1325295.8620739095</v>
      </c>
      <c r="I2531" s="275">
        <f t="shared" si="267"/>
        <v>1024536.208724657</v>
      </c>
      <c r="J2531" s="275">
        <f t="shared" si="267"/>
        <v>3030195.1869317703</v>
      </c>
      <c r="K2531" s="265"/>
    </row>
    <row r="2533" spans="1:11" ht="21" customHeight="1">
      <c r="A2533" s="1" t="s">
        <v>538</v>
      </c>
    </row>
    <row r="2534" spans="1:11">
      <c r="A2534" s="264" t="s">
        <v>217</v>
      </c>
    </row>
    <row r="2535" spans="1:11">
      <c r="A2535" s="269" t="s">
        <v>511</v>
      </c>
    </row>
    <row r="2536" spans="1:11">
      <c r="A2536" s="269" t="s">
        <v>539</v>
      </c>
    </row>
    <row r="2537" spans="1:11">
      <c r="A2537" s="264" t="s">
        <v>540</v>
      </c>
    </row>
    <row r="2539" spans="1:11">
      <c r="B2539" s="284" t="s">
        <v>22</v>
      </c>
      <c r="C2539" s="284" t="s">
        <v>23</v>
      </c>
      <c r="D2539" s="284" t="s">
        <v>24</v>
      </c>
      <c r="E2539" s="284" t="s">
        <v>25</v>
      </c>
      <c r="F2539" s="284" t="s">
        <v>26</v>
      </c>
      <c r="G2539" s="284" t="s">
        <v>31</v>
      </c>
      <c r="H2539" s="284" t="s">
        <v>27</v>
      </c>
      <c r="I2539" s="284" t="s">
        <v>28</v>
      </c>
      <c r="J2539" s="284" t="s">
        <v>29</v>
      </c>
    </row>
    <row r="2540" spans="1:11">
      <c r="A2540" s="285" t="s">
        <v>54</v>
      </c>
      <c r="B2540" s="275">
        <f t="shared" ref="B2540:J2540" si="268">B$2369*B2451</f>
        <v>0</v>
      </c>
      <c r="C2540" s="275">
        <f t="shared" si="268"/>
        <v>0</v>
      </c>
      <c r="D2540" s="275">
        <f t="shared" si="268"/>
        <v>0</v>
      </c>
      <c r="E2540" s="275">
        <f t="shared" si="268"/>
        <v>0</v>
      </c>
      <c r="F2540" s="275">
        <f t="shared" si="268"/>
        <v>0</v>
      </c>
      <c r="G2540" s="275">
        <f t="shared" si="268"/>
        <v>0</v>
      </c>
      <c r="H2540" s="275">
        <f t="shared" si="268"/>
        <v>0</v>
      </c>
      <c r="I2540" s="275">
        <f t="shared" si="268"/>
        <v>0</v>
      </c>
      <c r="J2540" s="275">
        <f t="shared" si="268"/>
        <v>970553.21908667183</v>
      </c>
      <c r="K2540" s="265"/>
    </row>
    <row r="2541" spans="1:11">
      <c r="A2541" s="285" t="s">
        <v>55</v>
      </c>
      <c r="B2541" s="275">
        <f t="shared" ref="B2541:J2541" si="269">B$2370*B2452</f>
        <v>0</v>
      </c>
      <c r="C2541" s="275">
        <f t="shared" si="269"/>
        <v>0</v>
      </c>
      <c r="D2541" s="275">
        <f t="shared" si="269"/>
        <v>0</v>
      </c>
      <c r="E2541" s="275">
        <f t="shared" si="269"/>
        <v>0</v>
      </c>
      <c r="F2541" s="275">
        <f t="shared" si="269"/>
        <v>0</v>
      </c>
      <c r="G2541" s="275">
        <f t="shared" si="269"/>
        <v>0</v>
      </c>
      <c r="H2541" s="275">
        <f t="shared" si="269"/>
        <v>0</v>
      </c>
      <c r="I2541" s="275">
        <f t="shared" si="269"/>
        <v>0</v>
      </c>
      <c r="J2541" s="275">
        <f t="shared" si="269"/>
        <v>188105.7096772058</v>
      </c>
      <c r="K2541" s="265"/>
    </row>
    <row r="2542" spans="1:11">
      <c r="A2542" s="285" t="s">
        <v>91</v>
      </c>
      <c r="B2542" s="275">
        <f t="shared" ref="B2542:J2542" si="270">B$2371*B2453</f>
        <v>0</v>
      </c>
      <c r="C2542" s="275">
        <f t="shared" si="270"/>
        <v>0</v>
      </c>
      <c r="D2542" s="275">
        <f t="shared" si="270"/>
        <v>0</v>
      </c>
      <c r="E2542" s="275">
        <f t="shared" si="270"/>
        <v>0</v>
      </c>
      <c r="F2542" s="275">
        <f t="shared" si="270"/>
        <v>0</v>
      </c>
      <c r="G2542" s="275">
        <f t="shared" si="270"/>
        <v>0</v>
      </c>
      <c r="H2542" s="275">
        <f t="shared" si="270"/>
        <v>0</v>
      </c>
      <c r="I2542" s="275">
        <f t="shared" si="270"/>
        <v>0</v>
      </c>
      <c r="J2542" s="275">
        <f t="shared" si="270"/>
        <v>1265.2178642796464</v>
      </c>
      <c r="K2542" s="265"/>
    </row>
    <row r="2543" spans="1:11">
      <c r="A2543" s="285" t="s">
        <v>56</v>
      </c>
      <c r="B2543" s="275">
        <f t="shared" ref="B2543:J2543" si="271">B$2372*B2454</f>
        <v>0</v>
      </c>
      <c r="C2543" s="275">
        <f t="shared" si="271"/>
        <v>0</v>
      </c>
      <c r="D2543" s="275">
        <f t="shared" si="271"/>
        <v>0</v>
      </c>
      <c r="E2543" s="275">
        <f t="shared" si="271"/>
        <v>0</v>
      </c>
      <c r="F2543" s="275">
        <f t="shared" si="271"/>
        <v>0</v>
      </c>
      <c r="G2543" s="275">
        <f t="shared" si="271"/>
        <v>0</v>
      </c>
      <c r="H2543" s="275">
        <f t="shared" si="271"/>
        <v>0</v>
      </c>
      <c r="I2543" s="275">
        <f t="shared" si="271"/>
        <v>0</v>
      </c>
      <c r="J2543" s="275">
        <f t="shared" si="271"/>
        <v>235690.30358869096</v>
      </c>
      <c r="K2543" s="265"/>
    </row>
    <row r="2544" spans="1:11">
      <c r="A2544" s="285" t="s">
        <v>57</v>
      </c>
      <c r="B2544" s="275">
        <f t="shared" ref="B2544:J2544" si="272">B$2373*B2455</f>
        <v>0</v>
      </c>
      <c r="C2544" s="275">
        <f t="shared" si="272"/>
        <v>0</v>
      </c>
      <c r="D2544" s="275">
        <f t="shared" si="272"/>
        <v>0</v>
      </c>
      <c r="E2544" s="275">
        <f t="shared" si="272"/>
        <v>0</v>
      </c>
      <c r="F2544" s="275">
        <f t="shared" si="272"/>
        <v>0</v>
      </c>
      <c r="G2544" s="275">
        <f t="shared" si="272"/>
        <v>0</v>
      </c>
      <c r="H2544" s="275">
        <f t="shared" si="272"/>
        <v>0</v>
      </c>
      <c r="I2544" s="275">
        <f t="shared" si="272"/>
        <v>0</v>
      </c>
      <c r="J2544" s="275">
        <f t="shared" si="272"/>
        <v>95438.592801926774</v>
      </c>
      <c r="K2544" s="265"/>
    </row>
    <row r="2545" spans="1:11">
      <c r="A2545" s="285" t="s">
        <v>92</v>
      </c>
      <c r="B2545" s="275">
        <f t="shared" ref="B2545:J2545" si="273">B$2374*B2456</f>
        <v>0</v>
      </c>
      <c r="C2545" s="275">
        <f t="shared" si="273"/>
        <v>0</v>
      </c>
      <c r="D2545" s="275">
        <f t="shared" si="273"/>
        <v>0</v>
      </c>
      <c r="E2545" s="275">
        <f t="shared" si="273"/>
        <v>0</v>
      </c>
      <c r="F2545" s="275">
        <f t="shared" si="273"/>
        <v>0</v>
      </c>
      <c r="G2545" s="275">
        <f t="shared" si="273"/>
        <v>0</v>
      </c>
      <c r="H2545" s="275">
        <f t="shared" si="273"/>
        <v>0</v>
      </c>
      <c r="I2545" s="275">
        <f t="shared" si="273"/>
        <v>0</v>
      </c>
      <c r="J2545" s="275">
        <f t="shared" si="273"/>
        <v>499.54932551567487</v>
      </c>
      <c r="K2545" s="265"/>
    </row>
    <row r="2546" spans="1:11">
      <c r="A2546" s="285" t="s">
        <v>58</v>
      </c>
      <c r="B2546" s="275">
        <f t="shared" ref="B2546:J2546" si="274">B$2375*B2457</f>
        <v>0</v>
      </c>
      <c r="C2546" s="275">
        <f t="shared" si="274"/>
        <v>0</v>
      </c>
      <c r="D2546" s="275">
        <f t="shared" si="274"/>
        <v>0</v>
      </c>
      <c r="E2546" s="275">
        <f t="shared" si="274"/>
        <v>0</v>
      </c>
      <c r="F2546" s="275">
        <f t="shared" si="274"/>
        <v>0</v>
      </c>
      <c r="G2546" s="275">
        <f t="shared" si="274"/>
        <v>0</v>
      </c>
      <c r="H2546" s="275">
        <f t="shared" si="274"/>
        <v>0</v>
      </c>
      <c r="I2546" s="275">
        <f t="shared" si="274"/>
        <v>0</v>
      </c>
      <c r="J2546" s="275">
        <f t="shared" si="274"/>
        <v>1.6782480359992032E-4</v>
      </c>
      <c r="K2546" s="265"/>
    </row>
    <row r="2547" spans="1:11">
      <c r="A2547" s="285" t="s">
        <v>59</v>
      </c>
      <c r="B2547" s="275">
        <f t="shared" ref="B2547:J2547" si="275">B$2376*B2458</f>
        <v>0</v>
      </c>
      <c r="C2547" s="275">
        <f t="shared" si="275"/>
        <v>0</v>
      </c>
      <c r="D2547" s="275">
        <f t="shared" si="275"/>
        <v>0</v>
      </c>
      <c r="E2547" s="275">
        <f t="shared" si="275"/>
        <v>0</v>
      </c>
      <c r="F2547" s="275">
        <f t="shared" si="275"/>
        <v>0</v>
      </c>
      <c r="G2547" s="275">
        <f t="shared" si="275"/>
        <v>0</v>
      </c>
      <c r="H2547" s="275">
        <f t="shared" si="275"/>
        <v>0</v>
      </c>
      <c r="I2547" s="275">
        <f t="shared" si="275"/>
        <v>1.6341495506258256E-4</v>
      </c>
      <c r="J2547" s="275">
        <f t="shared" si="275"/>
        <v>0</v>
      </c>
      <c r="K2547" s="265"/>
    </row>
    <row r="2548" spans="1:11">
      <c r="A2548" s="285" t="s">
        <v>72</v>
      </c>
      <c r="B2548" s="275">
        <f t="shared" ref="B2548:J2548" si="276">B$2377*B2459</f>
        <v>0</v>
      </c>
      <c r="C2548" s="275">
        <f t="shared" si="276"/>
        <v>0</v>
      </c>
      <c r="D2548" s="275">
        <f t="shared" si="276"/>
        <v>0</v>
      </c>
      <c r="E2548" s="275">
        <f t="shared" si="276"/>
        <v>3.5287426353621403E-5</v>
      </c>
      <c r="F2548" s="275">
        <f t="shared" si="276"/>
        <v>1.7488185832450961E-4</v>
      </c>
      <c r="G2548" s="275">
        <f t="shared" si="276"/>
        <v>0</v>
      </c>
      <c r="H2548" s="275">
        <f t="shared" si="276"/>
        <v>1.720177045754569E-4</v>
      </c>
      <c r="I2548" s="275">
        <f t="shared" si="276"/>
        <v>0</v>
      </c>
      <c r="J2548" s="275">
        <f t="shared" si="276"/>
        <v>0</v>
      </c>
      <c r="K2548" s="265"/>
    </row>
    <row r="2549" spans="1:11">
      <c r="A2549" s="285" t="s">
        <v>1178</v>
      </c>
      <c r="B2549" s="275">
        <f t="shared" ref="B2549:J2549" si="277">B$2378*B2460</f>
        <v>0</v>
      </c>
      <c r="C2549" s="275">
        <f t="shared" si="277"/>
        <v>0</v>
      </c>
      <c r="D2549" s="275">
        <f t="shared" si="277"/>
        <v>0</v>
      </c>
      <c r="E2549" s="275">
        <f t="shared" si="277"/>
        <v>0</v>
      </c>
      <c r="F2549" s="275">
        <f t="shared" si="277"/>
        <v>0</v>
      </c>
      <c r="G2549" s="275">
        <f t="shared" si="277"/>
        <v>0</v>
      </c>
      <c r="H2549" s="275">
        <f t="shared" si="277"/>
        <v>0</v>
      </c>
      <c r="I2549" s="275">
        <f t="shared" si="277"/>
        <v>0</v>
      </c>
      <c r="J2549" s="275">
        <f t="shared" si="277"/>
        <v>4.6599221879756056E-2</v>
      </c>
      <c r="K2549" s="265"/>
    </row>
    <row r="2550" spans="1:11">
      <c r="A2550" s="285" t="s">
        <v>1177</v>
      </c>
      <c r="B2550" s="275">
        <f t="shared" ref="B2550:J2550" si="278">B$2379*B2461</f>
        <v>0</v>
      </c>
      <c r="C2550" s="275">
        <f t="shared" si="278"/>
        <v>0</v>
      </c>
      <c r="D2550" s="275">
        <f t="shared" si="278"/>
        <v>0</v>
      </c>
      <c r="E2550" s="275">
        <f t="shared" si="278"/>
        <v>0</v>
      </c>
      <c r="F2550" s="275">
        <f t="shared" si="278"/>
        <v>0</v>
      </c>
      <c r="G2550" s="275">
        <f t="shared" si="278"/>
        <v>0</v>
      </c>
      <c r="H2550" s="275">
        <f t="shared" si="278"/>
        <v>0</v>
      </c>
      <c r="I2550" s="275">
        <f t="shared" si="278"/>
        <v>0</v>
      </c>
      <c r="J2550" s="275">
        <f t="shared" si="278"/>
        <v>79169.135953096484</v>
      </c>
      <c r="K2550" s="265"/>
    </row>
    <row r="2551" spans="1:11">
      <c r="A2551" s="285" t="s">
        <v>60</v>
      </c>
      <c r="B2551" s="275">
        <f t="shared" ref="B2551:J2551" si="279">B$2380*B2462</f>
        <v>0</v>
      </c>
      <c r="C2551" s="275">
        <f t="shared" si="279"/>
        <v>0</v>
      </c>
      <c r="D2551" s="275">
        <f t="shared" si="279"/>
        <v>0</v>
      </c>
      <c r="E2551" s="275">
        <f t="shared" si="279"/>
        <v>0</v>
      </c>
      <c r="F2551" s="275">
        <f t="shared" si="279"/>
        <v>0</v>
      </c>
      <c r="G2551" s="275">
        <f t="shared" si="279"/>
        <v>0</v>
      </c>
      <c r="H2551" s="275">
        <f t="shared" si="279"/>
        <v>41035.926647683766</v>
      </c>
      <c r="I2551" s="275">
        <f t="shared" si="279"/>
        <v>203028.08322352599</v>
      </c>
      <c r="J2551" s="275">
        <f t="shared" si="279"/>
        <v>200542.80536862405</v>
      </c>
      <c r="K2551" s="265"/>
    </row>
    <row r="2552" spans="1:11">
      <c r="A2552" s="285" t="s">
        <v>61</v>
      </c>
      <c r="B2552" s="275">
        <f t="shared" ref="B2552:J2552" si="280">B$2381*B2463</f>
        <v>0</v>
      </c>
      <c r="C2552" s="275">
        <f t="shared" si="280"/>
        <v>0</v>
      </c>
      <c r="D2552" s="275">
        <f t="shared" si="280"/>
        <v>0</v>
      </c>
      <c r="E2552" s="275">
        <f t="shared" si="280"/>
        <v>0</v>
      </c>
      <c r="F2552" s="275">
        <f t="shared" si="280"/>
        <v>0</v>
      </c>
      <c r="G2552" s="275">
        <f t="shared" si="280"/>
        <v>0</v>
      </c>
      <c r="H2552" s="275">
        <f t="shared" si="280"/>
        <v>111577.0289316923</v>
      </c>
      <c r="I2552" s="275">
        <f t="shared" si="280"/>
        <v>110407.01242239904</v>
      </c>
      <c r="J2552" s="275">
        <f t="shared" si="280"/>
        <v>0</v>
      </c>
      <c r="K2552" s="265"/>
    </row>
    <row r="2553" spans="1:11">
      <c r="A2553" s="285" t="s">
        <v>73</v>
      </c>
      <c r="B2553" s="275">
        <f t="shared" ref="B2553:J2553" si="281">B$2382*B2464</f>
        <v>0</v>
      </c>
      <c r="C2553" s="275">
        <f t="shared" si="281"/>
        <v>0</v>
      </c>
      <c r="D2553" s="275">
        <f t="shared" si="281"/>
        <v>0</v>
      </c>
      <c r="E2553" s="275">
        <f t="shared" si="281"/>
        <v>63973.546619219756</v>
      </c>
      <c r="F2553" s="275">
        <f t="shared" si="281"/>
        <v>317048.13505705388</v>
      </c>
      <c r="G2553" s="275">
        <f t="shared" si="281"/>
        <v>0</v>
      </c>
      <c r="H2553" s="275">
        <f t="shared" si="281"/>
        <v>311855.63188174559</v>
      </c>
      <c r="I2553" s="275">
        <f t="shared" si="281"/>
        <v>0</v>
      </c>
      <c r="J2553" s="275">
        <f t="shared" si="281"/>
        <v>0</v>
      </c>
      <c r="K2553" s="265"/>
    </row>
    <row r="2554" spans="1:11">
      <c r="A2554" s="285" t="s">
        <v>93</v>
      </c>
      <c r="B2554" s="275">
        <f t="shared" ref="B2554:J2554" si="282">B$2383*B2465</f>
        <v>0</v>
      </c>
      <c r="C2554" s="275">
        <f t="shared" si="282"/>
        <v>0</v>
      </c>
      <c r="D2554" s="275">
        <f t="shared" si="282"/>
        <v>0</v>
      </c>
      <c r="E2554" s="275">
        <f t="shared" si="282"/>
        <v>0</v>
      </c>
      <c r="F2554" s="275">
        <f t="shared" si="282"/>
        <v>0</v>
      </c>
      <c r="G2554" s="275">
        <f t="shared" si="282"/>
        <v>0</v>
      </c>
      <c r="H2554" s="275">
        <f t="shared" si="282"/>
        <v>0</v>
      </c>
      <c r="I2554" s="275">
        <f t="shared" si="282"/>
        <v>0</v>
      </c>
      <c r="J2554" s="275">
        <f t="shared" si="282"/>
        <v>0</v>
      </c>
      <c r="K2554" s="265"/>
    </row>
    <row r="2555" spans="1:11">
      <c r="A2555" s="285" t="s">
        <v>94</v>
      </c>
      <c r="B2555" s="275">
        <f t="shared" ref="B2555:J2555" si="283">B$2384*B2466</f>
        <v>0</v>
      </c>
      <c r="C2555" s="275">
        <f t="shared" si="283"/>
        <v>0</v>
      </c>
      <c r="D2555" s="275">
        <f t="shared" si="283"/>
        <v>0</v>
      </c>
      <c r="E2555" s="275">
        <f t="shared" si="283"/>
        <v>0</v>
      </c>
      <c r="F2555" s="275">
        <f t="shared" si="283"/>
        <v>0</v>
      </c>
      <c r="G2555" s="275">
        <f t="shared" si="283"/>
        <v>0</v>
      </c>
      <c r="H2555" s="275">
        <f t="shared" si="283"/>
        <v>0</v>
      </c>
      <c r="I2555" s="275">
        <f t="shared" si="283"/>
        <v>0</v>
      </c>
      <c r="J2555" s="275">
        <f t="shared" si="283"/>
        <v>0</v>
      </c>
      <c r="K2555" s="265"/>
    </row>
    <row r="2556" spans="1:11">
      <c r="A2556" s="285" t="s">
        <v>95</v>
      </c>
      <c r="B2556" s="275">
        <f t="shared" ref="B2556:J2556" si="284">B$2385*B2467</f>
        <v>0</v>
      </c>
      <c r="C2556" s="275">
        <f t="shared" si="284"/>
        <v>0</v>
      </c>
      <c r="D2556" s="275">
        <f t="shared" si="284"/>
        <v>0</v>
      </c>
      <c r="E2556" s="275">
        <f t="shared" si="284"/>
        <v>0</v>
      </c>
      <c r="F2556" s="275">
        <f t="shared" si="284"/>
        <v>0</v>
      </c>
      <c r="G2556" s="275">
        <f t="shared" si="284"/>
        <v>0</v>
      </c>
      <c r="H2556" s="275">
        <f t="shared" si="284"/>
        <v>0</v>
      </c>
      <c r="I2556" s="275">
        <f t="shared" si="284"/>
        <v>0</v>
      </c>
      <c r="J2556" s="275">
        <f t="shared" si="284"/>
        <v>0</v>
      </c>
      <c r="K2556" s="265"/>
    </row>
    <row r="2557" spans="1:11">
      <c r="A2557" s="285" t="s">
        <v>96</v>
      </c>
      <c r="B2557" s="275">
        <f t="shared" ref="B2557:J2557" si="285">B$2386*B2468</f>
        <v>0</v>
      </c>
      <c r="C2557" s="275">
        <f t="shared" si="285"/>
        <v>0</v>
      </c>
      <c r="D2557" s="275">
        <f t="shared" si="285"/>
        <v>0</v>
      </c>
      <c r="E2557" s="275">
        <f t="shared" si="285"/>
        <v>0</v>
      </c>
      <c r="F2557" s="275">
        <f t="shared" si="285"/>
        <v>0</v>
      </c>
      <c r="G2557" s="275">
        <f t="shared" si="285"/>
        <v>0</v>
      </c>
      <c r="H2557" s="275">
        <f t="shared" si="285"/>
        <v>0</v>
      </c>
      <c r="I2557" s="275">
        <f t="shared" si="285"/>
        <v>0</v>
      </c>
      <c r="J2557" s="275">
        <f t="shared" si="285"/>
        <v>0</v>
      </c>
      <c r="K2557" s="265"/>
    </row>
    <row r="2558" spans="1:11">
      <c r="A2558" s="285" t="s">
        <v>97</v>
      </c>
      <c r="B2558" s="275">
        <f t="shared" ref="B2558:J2558" si="286">B$2387*B2469</f>
        <v>0</v>
      </c>
      <c r="C2558" s="275">
        <f t="shared" si="286"/>
        <v>0</v>
      </c>
      <c r="D2558" s="275">
        <f t="shared" si="286"/>
        <v>0</v>
      </c>
      <c r="E2558" s="275">
        <f t="shared" si="286"/>
        <v>0</v>
      </c>
      <c r="F2558" s="275">
        <f t="shared" si="286"/>
        <v>0</v>
      </c>
      <c r="G2558" s="275">
        <f t="shared" si="286"/>
        <v>0</v>
      </c>
      <c r="H2558" s="275">
        <f t="shared" si="286"/>
        <v>0</v>
      </c>
      <c r="I2558" s="275">
        <f t="shared" si="286"/>
        <v>0</v>
      </c>
      <c r="J2558" s="275">
        <f t="shared" si="286"/>
        <v>0</v>
      </c>
      <c r="K2558" s="265"/>
    </row>
    <row r="2560" spans="1:11" ht="21" customHeight="1">
      <c r="A2560" s="1" t="s">
        <v>541</v>
      </c>
    </row>
    <row r="2561" spans="1:11">
      <c r="A2561" s="264" t="s">
        <v>217</v>
      </c>
    </row>
    <row r="2562" spans="1:11">
      <c r="A2562" s="269" t="s">
        <v>542</v>
      </c>
    </row>
    <row r="2563" spans="1:11">
      <c r="A2563" s="264" t="s">
        <v>512</v>
      </c>
    </row>
    <row r="2565" spans="1:11">
      <c r="B2565" s="284" t="s">
        <v>22</v>
      </c>
      <c r="C2565" s="284" t="s">
        <v>23</v>
      </c>
      <c r="D2565" s="284" t="s">
        <v>24</v>
      </c>
      <c r="E2565" s="284" t="s">
        <v>25</v>
      </c>
      <c r="F2565" s="284" t="s">
        <v>26</v>
      </c>
      <c r="G2565" s="284" t="s">
        <v>31</v>
      </c>
      <c r="H2565" s="284" t="s">
        <v>27</v>
      </c>
      <c r="I2565" s="284" t="s">
        <v>28</v>
      </c>
      <c r="J2565" s="284" t="s">
        <v>29</v>
      </c>
    </row>
    <row r="2566" spans="1:11" ht="30">
      <c r="A2566" s="285" t="s">
        <v>543</v>
      </c>
      <c r="B2566" s="275">
        <f t="shared" ref="B2566:J2566" si="287">SUM(B$2540:B$2558)</f>
        <v>0</v>
      </c>
      <c r="C2566" s="275">
        <f t="shared" si="287"/>
        <v>0</v>
      </c>
      <c r="D2566" s="275">
        <f t="shared" si="287"/>
        <v>0</v>
      </c>
      <c r="E2566" s="275">
        <f t="shared" si="287"/>
        <v>63973.546654507183</v>
      </c>
      <c r="F2566" s="275">
        <f t="shared" si="287"/>
        <v>317048.13523193571</v>
      </c>
      <c r="G2566" s="275">
        <f t="shared" si="287"/>
        <v>0</v>
      </c>
      <c r="H2566" s="275">
        <f t="shared" si="287"/>
        <v>464468.58763313934</v>
      </c>
      <c r="I2566" s="275">
        <f t="shared" si="287"/>
        <v>313435.09580934001</v>
      </c>
      <c r="J2566" s="275">
        <f t="shared" si="287"/>
        <v>1771264.5804330581</v>
      </c>
      <c r="K2566" s="265"/>
    </row>
    <row r="2568" spans="1:11" ht="21" customHeight="1">
      <c r="A2568" s="1" t="s">
        <v>544</v>
      </c>
    </row>
    <row r="2569" spans="1:11">
      <c r="A2569" s="264" t="s">
        <v>217</v>
      </c>
    </row>
    <row r="2570" spans="1:11">
      <c r="A2570" s="269" t="s">
        <v>545</v>
      </c>
    </row>
    <row r="2571" spans="1:11">
      <c r="A2571" s="269" t="s">
        <v>546</v>
      </c>
    </row>
    <row r="2572" spans="1:11">
      <c r="A2572" s="264" t="s">
        <v>547</v>
      </c>
    </row>
    <row r="2574" spans="1:11">
      <c r="B2574" s="284" t="s">
        <v>29</v>
      </c>
    </row>
    <row r="2575" spans="1:11">
      <c r="A2575" s="285" t="s">
        <v>548</v>
      </c>
      <c r="B2575" s="289">
        <f>$J2531/$J2566-1</f>
        <v>0.71075243100661734</v>
      </c>
      <c r="C2575" s="265"/>
    </row>
    <row r="2577" spans="1:11" ht="21" customHeight="1">
      <c r="A2577" s="1" t="s">
        <v>549</v>
      </c>
    </row>
    <row r="2579" spans="1:11">
      <c r="B2579" s="284" t="s">
        <v>22</v>
      </c>
      <c r="C2579" s="284" t="s">
        <v>23</v>
      </c>
      <c r="D2579" s="284" t="s">
        <v>24</v>
      </c>
      <c r="E2579" s="284" t="s">
        <v>25</v>
      </c>
      <c r="F2579" s="284" t="s">
        <v>26</v>
      </c>
      <c r="G2579" s="284" t="s">
        <v>31</v>
      </c>
      <c r="H2579" s="284" t="s">
        <v>27</v>
      </c>
      <c r="I2579" s="284" t="s">
        <v>28</v>
      </c>
      <c r="J2579" s="284" t="s">
        <v>29</v>
      </c>
    </row>
    <row r="2580" spans="1:11">
      <c r="A2580" s="285" t="s">
        <v>22</v>
      </c>
      <c r="B2580" s="297">
        <v>1</v>
      </c>
      <c r="C2580" s="297">
        <v>0</v>
      </c>
      <c r="D2580" s="297">
        <v>0</v>
      </c>
      <c r="E2580" s="297">
        <v>0</v>
      </c>
      <c r="F2580" s="297">
        <v>0</v>
      </c>
      <c r="G2580" s="297">
        <v>0</v>
      </c>
      <c r="H2580" s="297">
        <v>0</v>
      </c>
      <c r="I2580" s="297">
        <v>0</v>
      </c>
      <c r="J2580" s="297">
        <v>0</v>
      </c>
      <c r="K2580" s="265"/>
    </row>
    <row r="2581" spans="1:11">
      <c r="A2581" s="285" t="s">
        <v>23</v>
      </c>
      <c r="B2581" s="297">
        <v>0</v>
      </c>
      <c r="C2581" s="297">
        <v>1</v>
      </c>
      <c r="D2581" s="297">
        <v>0</v>
      </c>
      <c r="E2581" s="297">
        <v>0</v>
      </c>
      <c r="F2581" s="297">
        <v>0</v>
      </c>
      <c r="G2581" s="297">
        <v>0</v>
      </c>
      <c r="H2581" s="297">
        <v>0</v>
      </c>
      <c r="I2581" s="297">
        <v>0</v>
      </c>
      <c r="J2581" s="297">
        <v>0</v>
      </c>
      <c r="K2581" s="265"/>
    </row>
    <row r="2582" spans="1:11">
      <c r="A2582" s="285" t="s">
        <v>24</v>
      </c>
      <c r="B2582" s="297">
        <v>0</v>
      </c>
      <c r="C2582" s="297">
        <v>0</v>
      </c>
      <c r="D2582" s="297">
        <v>1</v>
      </c>
      <c r="E2582" s="297">
        <v>0</v>
      </c>
      <c r="F2582" s="297">
        <v>0</v>
      </c>
      <c r="G2582" s="297">
        <v>1</v>
      </c>
      <c r="H2582" s="297">
        <v>0</v>
      </c>
      <c r="I2582" s="297">
        <v>0</v>
      </c>
      <c r="J2582" s="297">
        <v>0</v>
      </c>
      <c r="K2582" s="265"/>
    </row>
    <row r="2583" spans="1:11">
      <c r="A2583" s="285" t="s">
        <v>25</v>
      </c>
      <c r="B2583" s="297">
        <v>0</v>
      </c>
      <c r="C2583" s="297">
        <v>0</v>
      </c>
      <c r="D2583" s="297">
        <v>0</v>
      </c>
      <c r="E2583" s="297">
        <v>1</v>
      </c>
      <c r="F2583" s="297">
        <v>0</v>
      </c>
      <c r="G2583" s="297">
        <v>0</v>
      </c>
      <c r="H2583" s="297">
        <v>0</v>
      </c>
      <c r="I2583" s="297">
        <v>0</v>
      </c>
      <c r="J2583" s="297">
        <v>0</v>
      </c>
      <c r="K2583" s="265"/>
    </row>
    <row r="2584" spans="1:11">
      <c r="A2584" s="285" t="s">
        <v>26</v>
      </c>
      <c r="B2584" s="297">
        <v>0</v>
      </c>
      <c r="C2584" s="297">
        <v>0</v>
      </c>
      <c r="D2584" s="297">
        <v>0</v>
      </c>
      <c r="E2584" s="297">
        <v>0</v>
      </c>
      <c r="F2584" s="297">
        <v>1</v>
      </c>
      <c r="G2584" s="297">
        <v>0</v>
      </c>
      <c r="H2584" s="297">
        <v>0</v>
      </c>
      <c r="I2584" s="297">
        <v>0</v>
      </c>
      <c r="J2584" s="297">
        <v>0</v>
      </c>
      <c r="K2584" s="265"/>
    </row>
    <row r="2585" spans="1:11">
      <c r="A2585" s="285" t="s">
        <v>27</v>
      </c>
      <c r="B2585" s="297">
        <v>0</v>
      </c>
      <c r="C2585" s="297">
        <v>0</v>
      </c>
      <c r="D2585" s="297">
        <v>0</v>
      </c>
      <c r="E2585" s="297">
        <v>0</v>
      </c>
      <c r="F2585" s="297">
        <v>0</v>
      </c>
      <c r="G2585" s="297">
        <v>0</v>
      </c>
      <c r="H2585" s="297">
        <v>1</v>
      </c>
      <c r="I2585" s="297">
        <v>0</v>
      </c>
      <c r="J2585" s="297">
        <v>0</v>
      </c>
      <c r="K2585" s="265"/>
    </row>
    <row r="2586" spans="1:11">
      <c r="A2586" s="285" t="s">
        <v>28</v>
      </c>
      <c r="B2586" s="297">
        <v>0</v>
      </c>
      <c r="C2586" s="297">
        <v>0</v>
      </c>
      <c r="D2586" s="297">
        <v>0</v>
      </c>
      <c r="E2586" s="297">
        <v>0</v>
      </c>
      <c r="F2586" s="297">
        <v>0</v>
      </c>
      <c r="G2586" s="297">
        <v>0</v>
      </c>
      <c r="H2586" s="297">
        <v>0</v>
      </c>
      <c r="I2586" s="297">
        <v>1</v>
      </c>
      <c r="J2586" s="297">
        <v>0</v>
      </c>
      <c r="K2586" s="265"/>
    </row>
    <row r="2587" spans="1:11">
      <c r="A2587" s="285" t="s">
        <v>29</v>
      </c>
      <c r="B2587" s="297">
        <v>0</v>
      </c>
      <c r="C2587" s="297">
        <v>0</v>
      </c>
      <c r="D2587" s="297">
        <v>0</v>
      </c>
      <c r="E2587" s="297">
        <v>0</v>
      </c>
      <c r="F2587" s="297">
        <v>0</v>
      </c>
      <c r="G2587" s="297">
        <v>0</v>
      </c>
      <c r="H2587" s="297">
        <v>0</v>
      </c>
      <c r="I2587" s="297">
        <v>0</v>
      </c>
      <c r="J2587" s="297">
        <v>1</v>
      </c>
      <c r="K2587" s="265"/>
    </row>
    <row r="2589" spans="1:11" ht="21" customHeight="1">
      <c r="A2589" s="1" t="s">
        <v>550</v>
      </c>
    </row>
    <row r="2590" spans="1:11">
      <c r="A2590" s="264" t="s">
        <v>217</v>
      </c>
    </row>
    <row r="2591" spans="1:11">
      <c r="A2591" s="269" t="s">
        <v>551</v>
      </c>
    </row>
    <row r="2592" spans="1:11">
      <c r="A2592" s="269" t="s">
        <v>552</v>
      </c>
    </row>
    <row r="2593" spans="1:3">
      <c r="A2593" s="264" t="s">
        <v>230</v>
      </c>
    </row>
    <row r="2595" spans="1:3" ht="30">
      <c r="B2595" s="284" t="s">
        <v>553</v>
      </c>
    </row>
    <row r="2596" spans="1:3">
      <c r="A2596" s="285" t="s">
        <v>22</v>
      </c>
      <c r="B2596" s="289">
        <f>SUMPRODUCT(D$693:D$700,$B$2580:$B$2587)</f>
        <v>2.200000000000002E-2</v>
      </c>
      <c r="C2596" s="265"/>
    </row>
    <row r="2597" spans="1:3">
      <c r="A2597" s="285" t="s">
        <v>23</v>
      </c>
      <c r="B2597" s="289">
        <f>SUMPRODUCT(D$693:D$700,$C$2580:$C$2587)</f>
        <v>5.3682000000000007E-2</v>
      </c>
      <c r="C2597" s="265"/>
    </row>
    <row r="2598" spans="1:3">
      <c r="A2598" s="285" t="s">
        <v>24</v>
      </c>
      <c r="B2598" s="289">
        <f>SUMPRODUCT(D$693:D$700,$D$2580:$D$2587)</f>
        <v>5.3682000000000007E-2</v>
      </c>
      <c r="C2598" s="265"/>
    </row>
    <row r="2599" spans="1:3">
      <c r="A2599" s="285" t="s">
        <v>25</v>
      </c>
      <c r="B2599" s="289">
        <f>SUMPRODUCT(D$693:D$700,$E$2580:$E$2587)</f>
        <v>0.13270815000000002</v>
      </c>
      <c r="C2599" s="265"/>
    </row>
    <row r="2600" spans="1:3">
      <c r="A2600" s="285" t="s">
        <v>26</v>
      </c>
      <c r="B2600" s="289">
        <f>SUMPRODUCT(D$693:D$700,$F$2580:$F$2587)</f>
        <v>0.13270815000000002</v>
      </c>
      <c r="C2600" s="265"/>
    </row>
    <row r="2601" spans="1:3">
      <c r="A2601" s="285" t="s">
        <v>31</v>
      </c>
      <c r="B2601" s="289">
        <f>SUMPRODUCT(D$693:D$700,$G$2580:$G$2587)</f>
        <v>5.3682000000000007E-2</v>
      </c>
      <c r="C2601" s="265"/>
    </row>
    <row r="2602" spans="1:3">
      <c r="A2602" s="285" t="s">
        <v>27</v>
      </c>
      <c r="B2602" s="289">
        <f>SUMPRODUCT(D$693:D$700,$H$2580:$H$2587)</f>
        <v>0.55181016550000006</v>
      </c>
      <c r="C2602" s="265"/>
    </row>
    <row r="2603" spans="1:3">
      <c r="A2603" s="285" t="s">
        <v>28</v>
      </c>
      <c r="B2603" s="289">
        <f>SUMPRODUCT(D$693:D$700,$I$2580:$I$2587)</f>
        <v>0.55181016550000006</v>
      </c>
      <c r="C2603" s="265"/>
    </row>
    <row r="2604" spans="1:3">
      <c r="A2604" s="285" t="s">
        <v>29</v>
      </c>
      <c r="B2604" s="289">
        <f>SUMPRODUCT(D$693:D$700,$J$2580:$J$2587)</f>
        <v>0</v>
      </c>
      <c r="C2604" s="265"/>
    </row>
    <row r="2606" spans="1:3" ht="21" customHeight="1">
      <c r="A2606" s="1" t="s">
        <v>554</v>
      </c>
    </row>
    <row r="2607" spans="1:3">
      <c r="A2607" s="264" t="s">
        <v>217</v>
      </c>
    </row>
    <row r="2608" spans="1:3">
      <c r="A2608" s="269" t="s">
        <v>555</v>
      </c>
    </row>
    <row r="2609" spans="1:11">
      <c r="A2609" s="269" t="s">
        <v>556</v>
      </c>
    </row>
    <row r="2610" spans="1:11">
      <c r="A2610" s="264" t="s">
        <v>235</v>
      </c>
    </row>
    <row r="2612" spans="1:11">
      <c r="B2612" s="284" t="s">
        <v>22</v>
      </c>
      <c r="C2612" s="284" t="s">
        <v>23</v>
      </c>
      <c r="D2612" s="284" t="s">
        <v>24</v>
      </c>
      <c r="E2612" s="284" t="s">
        <v>25</v>
      </c>
      <c r="F2612" s="284" t="s">
        <v>26</v>
      </c>
      <c r="G2612" s="284" t="s">
        <v>31</v>
      </c>
      <c r="H2612" s="284" t="s">
        <v>27</v>
      </c>
      <c r="I2612" s="284" t="s">
        <v>28</v>
      </c>
      <c r="J2612" s="284" t="s">
        <v>29</v>
      </c>
    </row>
    <row r="2613" spans="1:11">
      <c r="A2613" s="285" t="s">
        <v>557</v>
      </c>
      <c r="B2613" s="298">
        <f>$B$2596</f>
        <v>2.200000000000002E-2</v>
      </c>
      <c r="C2613" s="298">
        <f>$B$2597</f>
        <v>5.3682000000000007E-2</v>
      </c>
      <c r="D2613" s="298">
        <f>$B$2598</f>
        <v>5.3682000000000007E-2</v>
      </c>
      <c r="E2613" s="298">
        <f>$B$2599</f>
        <v>0.13270815000000002</v>
      </c>
      <c r="F2613" s="298">
        <f>$B$2600</f>
        <v>0.13270815000000002</v>
      </c>
      <c r="G2613" s="298">
        <f>$B$2601</f>
        <v>5.3682000000000007E-2</v>
      </c>
      <c r="H2613" s="298">
        <f>$B$2602</f>
        <v>0.55181016550000006</v>
      </c>
      <c r="I2613" s="298">
        <f>$B$2603</f>
        <v>0.55181016550000006</v>
      </c>
      <c r="J2613" s="298">
        <f>$B2575</f>
        <v>0.71075243100661734</v>
      </c>
      <c r="K2613" s="265"/>
    </row>
    <row r="2615" spans="1:11" ht="21" customHeight="1">
      <c r="A2615" s="1" t="s">
        <v>558</v>
      </c>
    </row>
    <row r="2616" spans="1:11">
      <c r="A2616" s="264" t="s">
        <v>217</v>
      </c>
    </row>
    <row r="2617" spans="1:11">
      <c r="A2617" s="269" t="s">
        <v>559</v>
      </c>
    </row>
    <row r="2618" spans="1:11">
      <c r="A2618" s="269" t="s">
        <v>546</v>
      </c>
    </row>
    <row r="2619" spans="1:11">
      <c r="A2619" s="269" t="s">
        <v>560</v>
      </c>
    </row>
    <row r="2620" spans="1:11">
      <c r="A2620" s="269" t="s">
        <v>561</v>
      </c>
    </row>
    <row r="2621" spans="1:11">
      <c r="A2621" s="264" t="s">
        <v>562</v>
      </c>
    </row>
    <row r="2623" spans="1:11">
      <c r="B2623" s="284" t="s">
        <v>22</v>
      </c>
      <c r="C2623" s="284" t="s">
        <v>23</v>
      </c>
      <c r="D2623" s="284" t="s">
        <v>24</v>
      </c>
      <c r="E2623" s="284" t="s">
        <v>25</v>
      </c>
      <c r="F2623" s="284" t="s">
        <v>26</v>
      </c>
      <c r="G2623" s="284" t="s">
        <v>31</v>
      </c>
      <c r="H2623" s="284" t="s">
        <v>27</v>
      </c>
      <c r="I2623" s="284" t="s">
        <v>28</v>
      </c>
      <c r="J2623" s="284" t="s">
        <v>29</v>
      </c>
    </row>
    <row r="2624" spans="1:11" ht="30">
      <c r="A2624" s="285" t="s">
        <v>563</v>
      </c>
      <c r="B2624" s="275">
        <f t="shared" ref="B2624:J2624" si="288">B2409-B2566+B2531/(1+B2613)</f>
        <v>2345552.5440985546</v>
      </c>
      <c r="C2624" s="275">
        <f t="shared" si="288"/>
        <v>2287118.4352851566</v>
      </c>
      <c r="D2624" s="275">
        <f t="shared" si="288"/>
        <v>2278024.5250056922</v>
      </c>
      <c r="E2624" s="275">
        <f t="shared" si="288"/>
        <v>2310078.9660296934</v>
      </c>
      <c r="F2624" s="275">
        <f t="shared" si="288"/>
        <v>2634812.5778065808</v>
      </c>
      <c r="G2624" s="275">
        <f t="shared" si="288"/>
        <v>0</v>
      </c>
      <c r="H2624" s="275">
        <f t="shared" si="288"/>
        <v>2635694.0982556818</v>
      </c>
      <c r="I2624" s="275">
        <f t="shared" si="288"/>
        <v>2262750.6862663371</v>
      </c>
      <c r="J2624" s="275">
        <f t="shared" si="288"/>
        <v>1793215.2467901907</v>
      </c>
      <c r="K2624" s="265"/>
    </row>
    <row r="2626" spans="1:13" ht="21" customHeight="1">
      <c r="A2626" s="1" t="str">
        <f>"Other expenditure for "&amp;CDCM!B7&amp;" in "&amp;CDCM!C7&amp;" ("&amp;CDCM!D7&amp;")"</f>
        <v>Other expenditure for 0 in 0 (0)</v>
      </c>
    </row>
    <row r="2628" spans="1:13" ht="21" customHeight="1">
      <c r="A2628" s="1" t="s">
        <v>564</v>
      </c>
    </row>
    <row r="2629" spans="1:13">
      <c r="A2629" s="264" t="s">
        <v>217</v>
      </c>
    </row>
    <row r="2630" spans="1:13">
      <c r="A2630" s="269" t="s">
        <v>565</v>
      </c>
    </row>
    <row r="2631" spans="1:13">
      <c r="A2631" s="264" t="s">
        <v>566</v>
      </c>
    </row>
    <row r="2632" spans="1:13">
      <c r="A2632" s="264" t="s">
        <v>235</v>
      </c>
    </row>
    <row r="2634" spans="1:13" ht="30">
      <c r="B2634" s="284" t="s">
        <v>170</v>
      </c>
      <c r="C2634" s="284" t="s">
        <v>567</v>
      </c>
      <c r="D2634" s="284" t="s">
        <v>568</v>
      </c>
      <c r="E2634" s="284" t="s">
        <v>569</v>
      </c>
      <c r="F2634" s="284" t="s">
        <v>570</v>
      </c>
      <c r="G2634" s="284" t="s">
        <v>571</v>
      </c>
      <c r="H2634" s="284" t="s">
        <v>572</v>
      </c>
      <c r="I2634" s="284" t="s">
        <v>573</v>
      </c>
      <c r="J2634" s="284" t="s">
        <v>574</v>
      </c>
      <c r="K2634" s="284" t="s">
        <v>575</v>
      </c>
      <c r="L2634" s="284" t="s">
        <v>576</v>
      </c>
    </row>
    <row r="2635" spans="1:13" ht="30">
      <c r="A2635" s="285" t="s">
        <v>577</v>
      </c>
      <c r="B2635" s="276">
        <f>$B262</f>
        <v>10140946.883201897</v>
      </c>
      <c r="C2635" s="272">
        <v>0</v>
      </c>
      <c r="D2635" s="272">
        <v>0</v>
      </c>
      <c r="E2635" s="272">
        <v>0</v>
      </c>
      <c r="F2635" s="272">
        <v>0</v>
      </c>
      <c r="G2635" s="272">
        <v>0</v>
      </c>
      <c r="H2635" s="272">
        <v>0</v>
      </c>
      <c r="I2635" s="272">
        <v>0</v>
      </c>
      <c r="J2635" s="272">
        <v>0</v>
      </c>
      <c r="K2635" s="272">
        <v>0</v>
      </c>
      <c r="L2635" s="272">
        <v>0</v>
      </c>
      <c r="M2635" s="265"/>
    </row>
    <row r="2637" spans="1:13" ht="21" customHeight="1">
      <c r="A2637" s="1" t="s">
        <v>578</v>
      </c>
    </row>
    <row r="2638" spans="1:13">
      <c r="A2638" s="264" t="s">
        <v>217</v>
      </c>
    </row>
    <row r="2639" spans="1:13">
      <c r="A2639" s="269" t="s">
        <v>309</v>
      </c>
    </row>
    <row r="2640" spans="1:13">
      <c r="A2640" s="269" t="s">
        <v>579</v>
      </c>
    </row>
    <row r="2641" spans="1:10">
      <c r="A2641" s="269" t="s">
        <v>580</v>
      </c>
    </row>
    <row r="2642" spans="1:10">
      <c r="A2642" s="264" t="s">
        <v>581</v>
      </c>
    </row>
    <row r="2644" spans="1:10" ht="30">
      <c r="B2644" s="284" t="s">
        <v>182</v>
      </c>
      <c r="C2644" s="284" t="s">
        <v>183</v>
      </c>
      <c r="D2644" s="284" t="s">
        <v>184</v>
      </c>
      <c r="E2644" s="284" t="s">
        <v>185</v>
      </c>
      <c r="F2644" s="284" t="s">
        <v>186</v>
      </c>
      <c r="G2644" s="284" t="s">
        <v>187</v>
      </c>
      <c r="H2644" s="284" t="s">
        <v>188</v>
      </c>
      <c r="I2644" s="284" t="s">
        <v>189</v>
      </c>
    </row>
    <row r="2645" spans="1:10">
      <c r="A2645" s="285" t="s">
        <v>582</v>
      </c>
      <c r="B2645" s="275">
        <f>IF($B$758,$C2624*$B$46/$B$758/1000,0)</f>
        <v>625080335.58002162</v>
      </c>
      <c r="C2645" s="275">
        <f>IF($B$759,$D2624*$B$47/$B$759/1000,0)</f>
        <v>88535909.459965646</v>
      </c>
      <c r="D2645" s="275">
        <f>IF($B$760,$E2624*$B$48/$B$760/1000,0)</f>
        <v>228005471.79018956</v>
      </c>
      <c r="E2645" s="275">
        <f>IF($B$761,$F2624*$B$49/$B$761/1000,0)</f>
        <v>263693501.65000591</v>
      </c>
      <c r="F2645" s="275">
        <f>IF($B$762,$G2624*$B$50/$B$762/1000,0)</f>
        <v>0</v>
      </c>
      <c r="G2645" s="275">
        <f>IF($B$763,$H2624*$B$51/$B$763/1000,0)</f>
        <v>955076064.71785319</v>
      </c>
      <c r="H2645" s="275">
        <f>IF($B$764,$I2624*$B$52/$B$764/1000,0)</f>
        <v>353112410.64907938</v>
      </c>
      <c r="I2645" s="275">
        <f>IF($B$765,$J2624*$B$53/$B$765/1000,0)</f>
        <v>608469222.4021132</v>
      </c>
      <c r="J2645" s="265"/>
    </row>
    <row r="2647" spans="1:10" ht="21" customHeight="1">
      <c r="A2647" s="1" t="s">
        <v>583</v>
      </c>
    </row>
    <row r="2648" spans="1:10">
      <c r="A2648" s="264" t="s">
        <v>217</v>
      </c>
    </row>
    <row r="2649" spans="1:10">
      <c r="A2649" s="269" t="s">
        <v>429</v>
      </c>
    </row>
    <row r="2650" spans="1:10">
      <c r="A2650" s="264" t="s">
        <v>584</v>
      </c>
    </row>
    <row r="2652" spans="1:10" ht="30">
      <c r="B2652" s="284" t="s">
        <v>585</v>
      </c>
    </row>
    <row r="2653" spans="1:10">
      <c r="A2653" s="285" t="s">
        <v>93</v>
      </c>
      <c r="B2653" s="276">
        <f>B$1443</f>
        <v>10216.676329270214</v>
      </c>
      <c r="C2653" s="265"/>
    </row>
    <row r="2654" spans="1:10">
      <c r="A2654" s="285" t="s">
        <v>94</v>
      </c>
      <c r="B2654" s="276">
        <f>B$1444</f>
        <v>7875.3061605532412</v>
      </c>
      <c r="C2654" s="265"/>
    </row>
    <row r="2655" spans="1:10">
      <c r="A2655" s="285" t="s">
        <v>95</v>
      </c>
      <c r="B2655" s="276">
        <f>B$1445</f>
        <v>993.54794623969281</v>
      </c>
      <c r="C2655" s="265"/>
    </row>
    <row r="2656" spans="1:10">
      <c r="A2656" s="285" t="s">
        <v>96</v>
      </c>
      <c r="B2656" s="276">
        <f>B$1446</f>
        <v>0</v>
      </c>
      <c r="C2656" s="265"/>
    </row>
    <row r="2657" spans="1:3">
      <c r="A2657" s="285" t="s">
        <v>97</v>
      </c>
      <c r="B2657" s="276">
        <f>B$1447</f>
        <v>113452.04203811059</v>
      </c>
      <c r="C2657" s="265"/>
    </row>
    <row r="2659" spans="1:3" ht="21" customHeight="1">
      <c r="A2659" s="1" t="s">
        <v>586</v>
      </c>
    </row>
    <row r="2660" spans="1:3">
      <c r="A2660" s="264" t="s">
        <v>217</v>
      </c>
    </row>
    <row r="2661" spans="1:3">
      <c r="A2661" s="269" t="s">
        <v>587</v>
      </c>
    </row>
    <row r="2662" spans="1:3">
      <c r="A2662" s="264" t="s">
        <v>512</v>
      </c>
    </row>
    <row r="2664" spans="1:3">
      <c r="B2664" s="284" t="s">
        <v>588</v>
      </c>
    </row>
    <row r="2665" spans="1:3">
      <c r="A2665" s="285" t="s">
        <v>588</v>
      </c>
      <c r="B2665" s="275">
        <f>SUM(B$2653:B$2657)</f>
        <v>132537.57247417374</v>
      </c>
      <c r="C2665" s="265"/>
    </row>
    <row r="2667" spans="1:3" ht="21" customHeight="1">
      <c r="A2667" s="1" t="s">
        <v>589</v>
      </c>
    </row>
    <row r="2668" spans="1:3">
      <c r="A2668" s="264" t="s">
        <v>217</v>
      </c>
    </row>
    <row r="2669" spans="1:3">
      <c r="A2669" s="269" t="s">
        <v>590</v>
      </c>
    </row>
    <row r="2670" spans="1:3">
      <c r="A2670" s="269" t="s">
        <v>591</v>
      </c>
    </row>
    <row r="2671" spans="1:3">
      <c r="A2671" s="269" t="s">
        <v>1367</v>
      </c>
    </row>
    <row r="2672" spans="1:3">
      <c r="A2672" s="269" t="s">
        <v>592</v>
      </c>
    </row>
    <row r="2673" spans="1:13">
      <c r="A2673" s="269" t="s">
        <v>593</v>
      </c>
    </row>
    <row r="2674" spans="1:13">
      <c r="A2674" s="269" t="s">
        <v>594</v>
      </c>
    </row>
    <row r="2675" spans="1:13">
      <c r="A2675" s="269" t="s">
        <v>595</v>
      </c>
    </row>
    <row r="2676" spans="1:13">
      <c r="A2676" s="270" t="s">
        <v>220</v>
      </c>
      <c r="B2676" s="270" t="s">
        <v>222</v>
      </c>
      <c r="C2676" s="270"/>
      <c r="D2676" s="270" t="s">
        <v>342</v>
      </c>
      <c r="E2676" s="270" t="s">
        <v>276</v>
      </c>
      <c r="F2676" s="270"/>
      <c r="G2676" s="270" t="s">
        <v>342</v>
      </c>
      <c r="H2676" s="270"/>
    </row>
    <row r="2677" spans="1:13">
      <c r="A2677" s="270" t="s">
        <v>223</v>
      </c>
      <c r="B2677" s="270" t="s">
        <v>225</v>
      </c>
      <c r="C2677" s="270"/>
      <c r="D2677" s="270" t="s">
        <v>596</v>
      </c>
      <c r="E2677" s="270" t="s">
        <v>597</v>
      </c>
      <c r="F2677" s="270"/>
      <c r="G2677" s="270" t="s">
        <v>598</v>
      </c>
      <c r="H2677" s="270"/>
    </row>
    <row r="2679" spans="1:13">
      <c r="B2679" s="295" t="s">
        <v>599</v>
      </c>
      <c r="C2679" s="295"/>
      <c r="E2679" s="295" t="s">
        <v>600</v>
      </c>
      <c r="F2679" s="295"/>
      <c r="G2679" s="295" t="s">
        <v>601</v>
      </c>
      <c r="H2679" s="295"/>
    </row>
    <row r="2680" spans="1:13" ht="30">
      <c r="B2680" s="284" t="s">
        <v>326</v>
      </c>
      <c r="C2680" s="284" t="s">
        <v>333</v>
      </c>
      <c r="D2680" s="284" t="s">
        <v>600</v>
      </c>
      <c r="E2680" s="284" t="s">
        <v>326</v>
      </c>
      <c r="F2680" s="284" t="s">
        <v>333</v>
      </c>
      <c r="G2680" s="284" t="s">
        <v>326</v>
      </c>
      <c r="H2680" s="284" t="s">
        <v>333</v>
      </c>
    </row>
    <row r="2681" spans="1:13">
      <c r="A2681" s="285" t="s">
        <v>602</v>
      </c>
      <c r="B2681" s="275">
        <f>SUMPRODUCT(B$855:B$887,$E$1268:$E$1300)</f>
        <v>560469137.37516892</v>
      </c>
      <c r="C2681" s="275">
        <f>SUMPRODUCT(C$855:C$887,$E$1268:$E$1300)</f>
        <v>13106251.013003774</v>
      </c>
      <c r="D2681" s="275">
        <f>B822*$B2665</f>
        <v>36781247.195186488</v>
      </c>
      <c r="E2681" s="276">
        <f>$D2681</f>
        <v>36781247.195186488</v>
      </c>
      <c r="F2681" s="291"/>
      <c r="G2681" s="275">
        <f>B2681+E2681</f>
        <v>597250384.57035542</v>
      </c>
      <c r="H2681" s="275">
        <f>C2681+F2681</f>
        <v>13106251.013003774</v>
      </c>
      <c r="I2681" s="265"/>
    </row>
    <row r="2683" spans="1:13" ht="21" customHeight="1">
      <c r="A2683" s="1" t="s">
        <v>603</v>
      </c>
    </row>
    <row r="2684" spans="1:13">
      <c r="A2684" s="264" t="s">
        <v>217</v>
      </c>
    </row>
    <row r="2685" spans="1:13">
      <c r="A2685" s="269" t="s">
        <v>604</v>
      </c>
    </row>
    <row r="2686" spans="1:13">
      <c r="A2686" s="269" t="s">
        <v>605</v>
      </c>
    </row>
    <row r="2687" spans="1:13">
      <c r="A2687" s="269" t="s">
        <v>606</v>
      </c>
    </row>
    <row r="2688" spans="1:13">
      <c r="A2688" s="270" t="s">
        <v>220</v>
      </c>
      <c r="B2688" s="271" t="s">
        <v>375</v>
      </c>
      <c r="C2688" s="271"/>
      <c r="D2688" s="271"/>
      <c r="E2688" s="271"/>
      <c r="F2688" s="271"/>
      <c r="G2688" s="271"/>
      <c r="H2688" s="271"/>
      <c r="I2688" s="271"/>
      <c r="J2688" s="271"/>
      <c r="K2688" s="271"/>
      <c r="L2688" s="271"/>
      <c r="M2688" s="270" t="s">
        <v>343</v>
      </c>
    </row>
    <row r="2689" spans="1:14">
      <c r="A2689" s="270" t="s">
        <v>223</v>
      </c>
      <c r="B2689" s="271" t="s">
        <v>448</v>
      </c>
      <c r="C2689" s="271"/>
      <c r="D2689" s="271"/>
      <c r="E2689" s="271"/>
      <c r="F2689" s="271"/>
      <c r="G2689" s="271"/>
      <c r="H2689" s="271"/>
      <c r="I2689" s="271"/>
      <c r="J2689" s="271"/>
      <c r="K2689" s="271"/>
      <c r="L2689" s="271"/>
      <c r="M2689" s="270" t="s">
        <v>393</v>
      </c>
    </row>
    <row r="2691" spans="1:14">
      <c r="B2691" s="296" t="s">
        <v>607</v>
      </c>
      <c r="C2691" s="296"/>
      <c r="D2691" s="296"/>
      <c r="E2691" s="296"/>
      <c r="F2691" s="296"/>
      <c r="G2691" s="296"/>
      <c r="H2691" s="296"/>
      <c r="I2691" s="296"/>
      <c r="J2691" s="296"/>
      <c r="K2691" s="296"/>
      <c r="L2691" s="296"/>
    </row>
    <row r="2692" spans="1:14" ht="30">
      <c r="B2692" s="284" t="s">
        <v>22</v>
      </c>
      <c r="C2692" s="284" t="s">
        <v>182</v>
      </c>
      <c r="D2692" s="284" t="s">
        <v>183</v>
      </c>
      <c r="E2692" s="284" t="s">
        <v>184</v>
      </c>
      <c r="F2692" s="284" t="s">
        <v>185</v>
      </c>
      <c r="G2692" s="284" t="s">
        <v>186</v>
      </c>
      <c r="H2692" s="284" t="s">
        <v>187</v>
      </c>
      <c r="I2692" s="284" t="s">
        <v>188</v>
      </c>
      <c r="J2692" s="284" t="s">
        <v>189</v>
      </c>
      <c r="K2692" s="284" t="s">
        <v>326</v>
      </c>
      <c r="L2692" s="284" t="s">
        <v>333</v>
      </c>
      <c r="M2692" s="284" t="s">
        <v>608</v>
      </c>
    </row>
    <row r="2693" spans="1:14">
      <c r="A2693" s="285" t="s">
        <v>609</v>
      </c>
      <c r="B2693" s="291"/>
      <c r="C2693" s="276">
        <f>$B2645</f>
        <v>625080335.58002162</v>
      </c>
      <c r="D2693" s="276">
        <f>$C2645</f>
        <v>88535909.459965646</v>
      </c>
      <c r="E2693" s="276">
        <f>$D2645</f>
        <v>228005471.79018956</v>
      </c>
      <c r="F2693" s="276">
        <f>$E2645</f>
        <v>263693501.65000591</v>
      </c>
      <c r="G2693" s="276">
        <f>$F2645</f>
        <v>0</v>
      </c>
      <c r="H2693" s="276">
        <f>$G2645</f>
        <v>955076064.71785319</v>
      </c>
      <c r="I2693" s="276">
        <f>$H2645</f>
        <v>353112410.64907938</v>
      </c>
      <c r="J2693" s="276">
        <f>$I2645</f>
        <v>608469222.4021132</v>
      </c>
      <c r="K2693" s="276">
        <f>$G2681</f>
        <v>597250384.57035542</v>
      </c>
      <c r="L2693" s="276">
        <f>$H2681</f>
        <v>13106251.013003774</v>
      </c>
      <c r="M2693" s="276">
        <f>SUM($B2693:$L2693)</f>
        <v>3732329551.8325877</v>
      </c>
      <c r="N2693" s="265"/>
    </row>
    <row r="2695" spans="1:14" ht="21" customHeight="1">
      <c r="A2695" s="1" t="s">
        <v>610</v>
      </c>
    </row>
    <row r="2696" spans="1:14">
      <c r="A2696" s="264" t="s">
        <v>217</v>
      </c>
    </row>
    <row r="2697" spans="1:14">
      <c r="A2697" s="269" t="s">
        <v>611</v>
      </c>
    </row>
    <row r="2698" spans="1:14">
      <c r="A2698" s="269" t="s">
        <v>612</v>
      </c>
    </row>
    <row r="2699" spans="1:14">
      <c r="A2699" s="269" t="s">
        <v>613</v>
      </c>
    </row>
    <row r="2700" spans="1:14">
      <c r="A2700" s="269" t="s">
        <v>614</v>
      </c>
    </row>
    <row r="2701" spans="1:14">
      <c r="A2701" s="264" t="s">
        <v>615</v>
      </c>
    </row>
    <row r="2703" spans="1:14" ht="45">
      <c r="B2703" s="284" t="s">
        <v>616</v>
      </c>
    </row>
    <row r="2704" spans="1:14">
      <c r="A2704" s="285" t="s">
        <v>177</v>
      </c>
      <c r="B2704" s="275">
        <f>B267+E267+C267*D267</f>
        <v>128092569.22370541</v>
      </c>
      <c r="C2704" s="265"/>
    </row>
    <row r="2706" spans="1:13" ht="21" customHeight="1">
      <c r="A2706" s="1" t="s">
        <v>617</v>
      </c>
    </row>
    <row r="2707" spans="1:13">
      <c r="A2707" s="264" t="s">
        <v>217</v>
      </c>
    </row>
    <row r="2708" spans="1:13">
      <c r="A2708" s="269" t="s">
        <v>618</v>
      </c>
    </row>
    <row r="2709" spans="1:13">
      <c r="A2709" s="269" t="s">
        <v>619</v>
      </c>
    </row>
    <row r="2710" spans="1:13">
      <c r="A2710" s="269" t="s">
        <v>620</v>
      </c>
    </row>
    <row r="2711" spans="1:13">
      <c r="A2711" s="269" t="s">
        <v>621</v>
      </c>
    </row>
    <row r="2712" spans="1:13">
      <c r="A2712" s="264" t="s">
        <v>622</v>
      </c>
    </row>
    <row r="2714" spans="1:13" ht="30">
      <c r="B2714" s="284" t="s">
        <v>170</v>
      </c>
      <c r="C2714" s="284" t="s">
        <v>567</v>
      </c>
      <c r="D2714" s="284" t="s">
        <v>568</v>
      </c>
      <c r="E2714" s="284" t="s">
        <v>569</v>
      </c>
      <c r="F2714" s="284" t="s">
        <v>570</v>
      </c>
      <c r="G2714" s="284" t="s">
        <v>571</v>
      </c>
      <c r="H2714" s="284" t="s">
        <v>572</v>
      </c>
      <c r="I2714" s="284" t="s">
        <v>573</v>
      </c>
      <c r="J2714" s="284" t="s">
        <v>574</v>
      </c>
      <c r="K2714" s="284" t="s">
        <v>575</v>
      </c>
      <c r="L2714" s="284" t="s">
        <v>576</v>
      </c>
    </row>
    <row r="2715" spans="1:13">
      <c r="A2715" s="285" t="s">
        <v>623</v>
      </c>
      <c r="B2715" s="275">
        <f t="shared" ref="B2715:L2715" si="289">B2635+$B2704/$M2693*B2693</f>
        <v>10140946.883201897</v>
      </c>
      <c r="C2715" s="275">
        <f t="shared" si="289"/>
        <v>21452592.822717696</v>
      </c>
      <c r="D2715" s="275">
        <f t="shared" si="289"/>
        <v>3038529.1421321551</v>
      </c>
      <c r="E2715" s="275">
        <f t="shared" si="289"/>
        <v>7825087.8635109561</v>
      </c>
      <c r="F2715" s="275">
        <f t="shared" si="289"/>
        <v>9049891.6681566723</v>
      </c>
      <c r="G2715" s="275">
        <f t="shared" si="289"/>
        <v>0</v>
      </c>
      <c r="H2715" s="275">
        <f t="shared" si="289"/>
        <v>32777959.511562228</v>
      </c>
      <c r="I2715" s="275">
        <f t="shared" si="289"/>
        <v>12118725.122385848</v>
      </c>
      <c r="J2715" s="275">
        <f t="shared" si="289"/>
        <v>20882503.784470979</v>
      </c>
      <c r="K2715" s="275">
        <f t="shared" si="289"/>
        <v>20497476.218813397</v>
      </c>
      <c r="L2715" s="275">
        <f t="shared" si="289"/>
        <v>449803.08995547873</v>
      </c>
      <c r="M2715" s="265"/>
    </row>
    <row r="2717" spans="1:13" ht="21" customHeight="1">
      <c r="A2717" s="1" t="s">
        <v>624</v>
      </c>
    </row>
    <row r="2718" spans="1:13">
      <c r="A2718" s="264" t="s">
        <v>217</v>
      </c>
    </row>
    <row r="2719" spans="1:13">
      <c r="A2719" s="269" t="s">
        <v>625</v>
      </c>
    </row>
    <row r="2720" spans="1:13">
      <c r="A2720" s="269" t="s">
        <v>626</v>
      </c>
    </row>
    <row r="2721" spans="1:13">
      <c r="A2721" s="264" t="s">
        <v>627</v>
      </c>
    </row>
    <row r="2723" spans="1:13" ht="30">
      <c r="B2723" s="284" t="s">
        <v>170</v>
      </c>
      <c r="C2723" s="284" t="s">
        <v>567</v>
      </c>
      <c r="D2723" s="284" t="s">
        <v>568</v>
      </c>
      <c r="E2723" s="284" t="s">
        <v>569</v>
      </c>
      <c r="F2723" s="284" t="s">
        <v>570</v>
      </c>
      <c r="G2723" s="284" t="s">
        <v>571</v>
      </c>
      <c r="H2723" s="284" t="s">
        <v>572</v>
      </c>
      <c r="I2723" s="284" t="s">
        <v>573</v>
      </c>
      <c r="J2723" s="284" t="s">
        <v>574</v>
      </c>
      <c r="K2723" s="284" t="s">
        <v>575</v>
      </c>
      <c r="L2723" s="284" t="s">
        <v>576</v>
      </c>
    </row>
    <row r="2724" spans="1:13">
      <c r="A2724" s="285" t="s">
        <v>628</v>
      </c>
      <c r="B2724" s="289" t="str">
        <f t="shared" ref="B2724:L2724" si="290">IF(B2693="","",IF(B2693&gt;0,B2715/B2693,0))</f>
        <v/>
      </c>
      <c r="C2724" s="289">
        <f t="shared" si="290"/>
        <v>3.4319737162762459E-2</v>
      </c>
      <c r="D2724" s="289">
        <f t="shared" si="290"/>
        <v>3.4319737162762459E-2</v>
      </c>
      <c r="E2724" s="289">
        <f t="shared" si="290"/>
        <v>3.4319737162762459E-2</v>
      </c>
      <c r="F2724" s="289">
        <f t="shared" si="290"/>
        <v>3.4319737162762459E-2</v>
      </c>
      <c r="G2724" s="289">
        <f t="shared" si="290"/>
        <v>0</v>
      </c>
      <c r="H2724" s="289">
        <f t="shared" si="290"/>
        <v>3.4319737162762459E-2</v>
      </c>
      <c r="I2724" s="289">
        <f t="shared" si="290"/>
        <v>3.4319737162762459E-2</v>
      </c>
      <c r="J2724" s="289">
        <f t="shared" si="290"/>
        <v>3.4319737162762459E-2</v>
      </c>
      <c r="K2724" s="289">
        <f t="shared" si="290"/>
        <v>3.4319737162762459E-2</v>
      </c>
      <c r="L2724" s="289">
        <f t="shared" si="290"/>
        <v>3.4319737162762459E-2</v>
      </c>
      <c r="M2724" s="265"/>
    </row>
    <row r="2726" spans="1:13" ht="21" customHeight="1">
      <c r="A2726" s="1" t="s">
        <v>629</v>
      </c>
    </row>
    <row r="2727" spans="1:13">
      <c r="A2727" s="264" t="s">
        <v>217</v>
      </c>
    </row>
    <row r="2728" spans="1:13">
      <c r="A2728" s="269" t="s">
        <v>630</v>
      </c>
    </row>
    <row r="2729" spans="1:13">
      <c r="A2729" s="269" t="s">
        <v>626</v>
      </c>
    </row>
    <row r="2730" spans="1:13">
      <c r="A2730" s="264" t="s">
        <v>631</v>
      </c>
    </row>
    <row r="2732" spans="1:13" ht="30">
      <c r="B2732" s="284" t="s">
        <v>170</v>
      </c>
      <c r="C2732" s="284" t="s">
        <v>567</v>
      </c>
      <c r="D2732" s="284" t="s">
        <v>568</v>
      </c>
      <c r="E2732" s="284" t="s">
        <v>569</v>
      </c>
      <c r="F2732" s="284" t="s">
        <v>570</v>
      </c>
      <c r="G2732" s="284" t="s">
        <v>571</v>
      </c>
      <c r="H2732" s="284" t="s">
        <v>572</v>
      </c>
      <c r="I2732" s="284" t="s">
        <v>573</v>
      </c>
      <c r="J2732" s="284" t="s">
        <v>574</v>
      </c>
    </row>
    <row r="2733" spans="1:13" ht="30">
      <c r="A2733" s="285" t="s">
        <v>632</v>
      </c>
      <c r="B2733" s="273">
        <f>IF(B2624&gt;0,$B2715/B2624,0)</f>
        <v>4.3234788786619474</v>
      </c>
      <c r="C2733" s="273">
        <f>IF(C2624&gt;0,$C2715/C2624,0)</f>
        <v>9.3797472364141043</v>
      </c>
      <c r="D2733" s="273">
        <f>IF(D2624&gt;0,$D2715/D2624,0)</f>
        <v>1.3338439111512914</v>
      </c>
      <c r="E2733" s="273">
        <f>IF(E2624&gt;0,$E2715/E2624,0)</f>
        <v>3.3873681283544372</v>
      </c>
      <c r="F2733" s="273">
        <f>IF(F2624&gt;0,$F2715/F2624,0)</f>
        <v>3.4347382976630896</v>
      </c>
      <c r="G2733" s="273">
        <f>IF(G2624&gt;0,$G2715/G2624,0)</f>
        <v>0</v>
      </c>
      <c r="H2733" s="273">
        <f>IF(H2624&gt;0,$H2715/H2624,0)</f>
        <v>12.436177450658967</v>
      </c>
      <c r="I2733" s="273">
        <f>IF(I2624&gt;0,$I2715/I2624,0)</f>
        <v>5.3557491755233588</v>
      </c>
      <c r="J2733" s="273">
        <f>IF(J2624&gt;0,$J2715/J2624,0)</f>
        <v>11.645285652043237</v>
      </c>
      <c r="K2733" s="265"/>
    </row>
    <row r="2735" spans="1:13" ht="21" customHeight="1">
      <c r="A2735" s="1" t="s">
        <v>633</v>
      </c>
    </row>
    <row r="2736" spans="1:13">
      <c r="A2736" s="264" t="s">
        <v>217</v>
      </c>
    </row>
    <row r="2737" spans="1:5">
      <c r="A2737" s="269" t="s">
        <v>338</v>
      </c>
    </row>
    <row r="2738" spans="1:5">
      <c r="A2738" s="269" t="s">
        <v>634</v>
      </c>
    </row>
    <row r="2739" spans="1:5">
      <c r="A2739" s="269" t="s">
        <v>635</v>
      </c>
    </row>
    <row r="2740" spans="1:5">
      <c r="A2740" s="269" t="s">
        <v>636</v>
      </c>
    </row>
    <row r="2741" spans="1:5">
      <c r="A2741" s="270" t="s">
        <v>220</v>
      </c>
      <c r="B2741" s="270" t="s">
        <v>342</v>
      </c>
      <c r="C2741" s="270"/>
      <c r="D2741" s="270" t="s">
        <v>343</v>
      </c>
    </row>
    <row r="2742" spans="1:5">
      <c r="A2742" s="270" t="s">
        <v>223</v>
      </c>
      <c r="B2742" s="270" t="s">
        <v>637</v>
      </c>
      <c r="C2742" s="270"/>
      <c r="D2742" s="270" t="s">
        <v>394</v>
      </c>
    </row>
    <row r="2744" spans="1:5">
      <c r="B2744" s="295" t="s">
        <v>638</v>
      </c>
      <c r="C2744" s="295"/>
    </row>
    <row r="2745" spans="1:5" ht="45">
      <c r="B2745" s="284" t="s">
        <v>575</v>
      </c>
      <c r="C2745" s="284" t="s">
        <v>576</v>
      </c>
      <c r="D2745" s="284" t="s">
        <v>639</v>
      </c>
    </row>
    <row r="2746" spans="1:5">
      <c r="A2746" s="285" t="s">
        <v>54</v>
      </c>
      <c r="B2746" s="273">
        <f t="shared" ref="B2746:B2778" si="291">100/$F$14*$K$2724*$B855</f>
        <v>2.8745347299622734</v>
      </c>
      <c r="C2746" s="273">
        <f t="shared" ref="C2746:C2778" si="292">100/$F$14*$L$2724*$C855</f>
        <v>0</v>
      </c>
      <c r="D2746" s="273">
        <f t="shared" ref="D2746:D2778" si="293">SUM($B2746:$C2746)</f>
        <v>2.8745347299622734</v>
      </c>
      <c r="E2746" s="265"/>
    </row>
    <row r="2747" spans="1:5">
      <c r="A2747" s="285" t="s">
        <v>55</v>
      </c>
      <c r="B2747" s="273">
        <f t="shared" si="291"/>
        <v>2.8745347299622734</v>
      </c>
      <c r="C2747" s="273">
        <f t="shared" si="292"/>
        <v>0</v>
      </c>
      <c r="D2747" s="273">
        <f t="shared" si="293"/>
        <v>2.8745347299622734</v>
      </c>
      <c r="E2747" s="265"/>
    </row>
    <row r="2748" spans="1:5">
      <c r="A2748" s="285" t="s">
        <v>91</v>
      </c>
      <c r="B2748" s="273">
        <f t="shared" si="291"/>
        <v>0</v>
      </c>
      <c r="C2748" s="273">
        <f t="shared" si="292"/>
        <v>0</v>
      </c>
      <c r="D2748" s="273">
        <f t="shared" si="293"/>
        <v>0</v>
      </c>
      <c r="E2748" s="265"/>
    </row>
    <row r="2749" spans="1:5">
      <c r="A2749" s="285" t="s">
        <v>56</v>
      </c>
      <c r="B2749" s="273">
        <f t="shared" si="291"/>
        <v>6.4671283567213038</v>
      </c>
      <c r="C2749" s="273">
        <f t="shared" si="292"/>
        <v>0</v>
      </c>
      <c r="D2749" s="273">
        <f t="shared" si="293"/>
        <v>6.4671283567213038</v>
      </c>
      <c r="E2749" s="265"/>
    </row>
    <row r="2750" spans="1:5">
      <c r="A2750" s="285" t="s">
        <v>57</v>
      </c>
      <c r="B2750" s="273">
        <f t="shared" si="291"/>
        <v>6.4671283567213038</v>
      </c>
      <c r="C2750" s="273">
        <f t="shared" si="292"/>
        <v>0</v>
      </c>
      <c r="D2750" s="273">
        <f t="shared" si="293"/>
        <v>6.4671283567213038</v>
      </c>
      <c r="E2750" s="265"/>
    </row>
    <row r="2751" spans="1:5">
      <c r="A2751" s="285" t="s">
        <v>92</v>
      </c>
      <c r="B2751" s="273">
        <f t="shared" si="291"/>
        <v>0</v>
      </c>
      <c r="C2751" s="273">
        <f t="shared" si="292"/>
        <v>0</v>
      </c>
      <c r="D2751" s="273">
        <f t="shared" si="293"/>
        <v>0</v>
      </c>
      <c r="E2751" s="265"/>
    </row>
    <row r="2752" spans="1:5">
      <c r="A2752" s="285" t="s">
        <v>58</v>
      </c>
      <c r="B2752" s="273">
        <f t="shared" si="291"/>
        <v>7.8736826994482305</v>
      </c>
      <c r="C2752" s="273">
        <f t="shared" si="292"/>
        <v>0</v>
      </c>
      <c r="D2752" s="273">
        <f t="shared" si="293"/>
        <v>7.8736826994482305</v>
      </c>
      <c r="E2752" s="265"/>
    </row>
    <row r="2753" spans="1:5">
      <c r="A2753" s="285" t="s">
        <v>59</v>
      </c>
      <c r="B2753" s="273">
        <f t="shared" si="291"/>
        <v>5.8392803071144987</v>
      </c>
      <c r="C2753" s="273">
        <f t="shared" si="292"/>
        <v>0</v>
      </c>
      <c r="D2753" s="273">
        <f t="shared" si="293"/>
        <v>5.8392803071144987</v>
      </c>
      <c r="E2753" s="265"/>
    </row>
    <row r="2754" spans="1:5">
      <c r="A2754" s="285" t="s">
        <v>72</v>
      </c>
      <c r="B2754" s="273">
        <f t="shared" si="291"/>
        <v>0</v>
      </c>
      <c r="C2754" s="273">
        <f t="shared" si="292"/>
        <v>101.43191906755858</v>
      </c>
      <c r="D2754" s="273">
        <f t="shared" si="293"/>
        <v>101.43191906755858</v>
      </c>
      <c r="E2754" s="265"/>
    </row>
    <row r="2755" spans="1:5">
      <c r="A2755" s="285" t="s">
        <v>1178</v>
      </c>
      <c r="B2755" s="273">
        <f t="shared" si="291"/>
        <v>2.8745347299622734</v>
      </c>
      <c r="C2755" s="273">
        <f t="shared" si="292"/>
        <v>0</v>
      </c>
      <c r="D2755" s="273">
        <f t="shared" si="293"/>
        <v>2.8745347299622734</v>
      </c>
      <c r="E2755" s="265"/>
    </row>
    <row r="2756" spans="1:5">
      <c r="A2756" s="285" t="s">
        <v>1177</v>
      </c>
      <c r="B2756" s="273">
        <f t="shared" si="291"/>
        <v>6.4671283567213038</v>
      </c>
      <c r="C2756" s="273">
        <f t="shared" si="292"/>
        <v>0</v>
      </c>
      <c r="D2756" s="273">
        <f t="shared" si="293"/>
        <v>6.4671283567213038</v>
      </c>
      <c r="E2756" s="265"/>
    </row>
    <row r="2757" spans="1:5">
      <c r="A2757" s="285" t="s">
        <v>60</v>
      </c>
      <c r="B2757" s="273">
        <f t="shared" si="291"/>
        <v>13.273983628288541</v>
      </c>
      <c r="C2757" s="273">
        <f t="shared" si="292"/>
        <v>0</v>
      </c>
      <c r="D2757" s="273">
        <f t="shared" si="293"/>
        <v>13.273983628288541</v>
      </c>
      <c r="E2757" s="265"/>
    </row>
    <row r="2758" spans="1:5">
      <c r="A2758" s="285" t="s">
        <v>61</v>
      </c>
      <c r="B2758" s="273">
        <f t="shared" si="291"/>
        <v>10.223795939845829</v>
      </c>
      <c r="C2758" s="273">
        <f t="shared" si="292"/>
        <v>0</v>
      </c>
      <c r="D2758" s="273">
        <f t="shared" si="293"/>
        <v>10.223795939845829</v>
      </c>
      <c r="E2758" s="265"/>
    </row>
    <row r="2759" spans="1:5">
      <c r="A2759" s="285" t="s">
        <v>73</v>
      </c>
      <c r="B2759" s="273">
        <f t="shared" si="291"/>
        <v>0</v>
      </c>
      <c r="C2759" s="273">
        <f t="shared" si="292"/>
        <v>101.43191906755858</v>
      </c>
      <c r="D2759" s="273">
        <f t="shared" si="293"/>
        <v>101.43191906755858</v>
      </c>
      <c r="E2759" s="265"/>
    </row>
    <row r="2760" spans="1:5">
      <c r="A2760" s="285" t="s">
        <v>93</v>
      </c>
      <c r="B2760" s="273">
        <f t="shared" si="291"/>
        <v>0</v>
      </c>
      <c r="C2760" s="273">
        <f t="shared" si="292"/>
        <v>0</v>
      </c>
      <c r="D2760" s="273">
        <f t="shared" si="293"/>
        <v>0</v>
      </c>
      <c r="E2760" s="265"/>
    </row>
    <row r="2761" spans="1:5">
      <c r="A2761" s="285" t="s">
        <v>94</v>
      </c>
      <c r="B2761" s="273">
        <f t="shared" si="291"/>
        <v>0</v>
      </c>
      <c r="C2761" s="273">
        <f t="shared" si="292"/>
        <v>0</v>
      </c>
      <c r="D2761" s="273">
        <f t="shared" si="293"/>
        <v>0</v>
      </c>
      <c r="E2761" s="265"/>
    </row>
    <row r="2762" spans="1:5">
      <c r="A2762" s="285" t="s">
        <v>95</v>
      </c>
      <c r="B2762" s="273">
        <f t="shared" si="291"/>
        <v>0</v>
      </c>
      <c r="C2762" s="273">
        <f t="shared" si="292"/>
        <v>0</v>
      </c>
      <c r="D2762" s="273">
        <f t="shared" si="293"/>
        <v>0</v>
      </c>
      <c r="E2762" s="265"/>
    </row>
    <row r="2763" spans="1:5">
      <c r="A2763" s="285" t="s">
        <v>96</v>
      </c>
      <c r="B2763" s="273">
        <f t="shared" si="291"/>
        <v>0</v>
      </c>
      <c r="C2763" s="273">
        <f t="shared" si="292"/>
        <v>0</v>
      </c>
      <c r="D2763" s="273">
        <f t="shared" si="293"/>
        <v>0</v>
      </c>
      <c r="E2763" s="265"/>
    </row>
    <row r="2764" spans="1:5">
      <c r="A2764" s="285" t="s">
        <v>97</v>
      </c>
      <c r="B2764" s="273">
        <f t="shared" si="291"/>
        <v>0</v>
      </c>
      <c r="C2764" s="273">
        <f t="shared" si="292"/>
        <v>0</v>
      </c>
      <c r="D2764" s="273">
        <f t="shared" si="293"/>
        <v>0</v>
      </c>
      <c r="E2764" s="265"/>
    </row>
    <row r="2765" spans="1:5">
      <c r="A2765" s="285" t="s">
        <v>1176</v>
      </c>
      <c r="B2765" s="273">
        <f t="shared" si="291"/>
        <v>0</v>
      </c>
      <c r="C2765" s="273">
        <f t="shared" si="292"/>
        <v>0</v>
      </c>
      <c r="D2765" s="273">
        <f t="shared" si="293"/>
        <v>0</v>
      </c>
      <c r="E2765" s="265"/>
    </row>
    <row r="2766" spans="1:5">
      <c r="A2766" s="285" t="s">
        <v>62</v>
      </c>
      <c r="B2766" s="273">
        <f t="shared" si="291"/>
        <v>0</v>
      </c>
      <c r="C2766" s="273">
        <f t="shared" si="292"/>
        <v>0</v>
      </c>
      <c r="D2766" s="273">
        <f t="shared" si="293"/>
        <v>0</v>
      </c>
      <c r="E2766" s="265"/>
    </row>
    <row r="2767" spans="1:5">
      <c r="A2767" s="285" t="s">
        <v>63</v>
      </c>
      <c r="B2767" s="273">
        <f t="shared" si="291"/>
        <v>0</v>
      </c>
      <c r="C2767" s="273">
        <f t="shared" si="292"/>
        <v>0</v>
      </c>
      <c r="D2767" s="273">
        <f t="shared" si="293"/>
        <v>0</v>
      </c>
      <c r="E2767" s="265"/>
    </row>
    <row r="2768" spans="1:5">
      <c r="A2768" s="285" t="s">
        <v>1516</v>
      </c>
      <c r="B2768" s="273">
        <f t="shared" si="291"/>
        <v>0</v>
      </c>
      <c r="C2768" s="273">
        <f t="shared" si="292"/>
        <v>0</v>
      </c>
      <c r="D2768" s="273">
        <f t="shared" si="293"/>
        <v>0</v>
      </c>
      <c r="E2768" s="265"/>
    </row>
    <row r="2769" spans="1:5">
      <c r="A2769" s="285" t="s">
        <v>64</v>
      </c>
      <c r="B2769" s="273">
        <f t="shared" si="291"/>
        <v>0</v>
      </c>
      <c r="C2769" s="273">
        <f t="shared" si="292"/>
        <v>0</v>
      </c>
      <c r="D2769" s="273">
        <f t="shared" si="293"/>
        <v>0</v>
      </c>
      <c r="E2769" s="265"/>
    </row>
    <row r="2770" spans="1:5">
      <c r="A2770" s="285" t="s">
        <v>1517</v>
      </c>
      <c r="B2770" s="273">
        <f t="shared" si="291"/>
        <v>0</v>
      </c>
      <c r="C2770" s="273">
        <f t="shared" si="292"/>
        <v>0</v>
      </c>
      <c r="D2770" s="273">
        <f t="shared" si="293"/>
        <v>0</v>
      </c>
      <c r="E2770" s="265"/>
    </row>
    <row r="2771" spans="1:5">
      <c r="A2771" s="285" t="s">
        <v>65</v>
      </c>
      <c r="B2771" s="273">
        <f t="shared" si="291"/>
        <v>0</v>
      </c>
      <c r="C2771" s="273">
        <f t="shared" si="292"/>
        <v>0</v>
      </c>
      <c r="D2771" s="273">
        <f t="shared" si="293"/>
        <v>0</v>
      </c>
      <c r="E2771" s="265"/>
    </row>
    <row r="2772" spans="1:5">
      <c r="A2772" s="285" t="s">
        <v>1518</v>
      </c>
      <c r="B2772" s="273">
        <f t="shared" si="291"/>
        <v>0</v>
      </c>
      <c r="C2772" s="273">
        <f t="shared" si="292"/>
        <v>0</v>
      </c>
      <c r="D2772" s="273">
        <f t="shared" si="293"/>
        <v>0</v>
      </c>
      <c r="E2772" s="265"/>
    </row>
    <row r="2773" spans="1:5">
      <c r="A2773" s="285" t="s">
        <v>66</v>
      </c>
      <c r="B2773" s="273">
        <f t="shared" si="291"/>
        <v>0</v>
      </c>
      <c r="C2773" s="273">
        <f t="shared" si="292"/>
        <v>0</v>
      </c>
      <c r="D2773" s="273">
        <f t="shared" si="293"/>
        <v>0</v>
      </c>
      <c r="E2773" s="265"/>
    </row>
    <row r="2774" spans="1:5">
      <c r="A2774" s="285" t="s">
        <v>1519</v>
      </c>
      <c r="B2774" s="273">
        <f t="shared" si="291"/>
        <v>0</v>
      </c>
      <c r="C2774" s="273">
        <f t="shared" si="292"/>
        <v>0</v>
      </c>
      <c r="D2774" s="273">
        <f t="shared" si="293"/>
        <v>0</v>
      </c>
      <c r="E2774" s="265"/>
    </row>
    <row r="2775" spans="1:5">
      <c r="A2775" s="285" t="s">
        <v>74</v>
      </c>
      <c r="B2775" s="273">
        <f t="shared" si="291"/>
        <v>0</v>
      </c>
      <c r="C2775" s="273">
        <f t="shared" si="292"/>
        <v>48.903754666808268</v>
      </c>
      <c r="D2775" s="273">
        <f t="shared" si="293"/>
        <v>48.903754666808268</v>
      </c>
      <c r="E2775" s="265"/>
    </row>
    <row r="2776" spans="1:5">
      <c r="A2776" s="285" t="s">
        <v>1520</v>
      </c>
      <c r="B2776" s="273">
        <f t="shared" si="291"/>
        <v>0</v>
      </c>
      <c r="C2776" s="273">
        <f t="shared" si="292"/>
        <v>48.903754666808268</v>
      </c>
      <c r="D2776" s="273">
        <f t="shared" si="293"/>
        <v>48.903754666808268</v>
      </c>
      <c r="E2776" s="265"/>
    </row>
    <row r="2777" spans="1:5">
      <c r="A2777" s="285" t="s">
        <v>75</v>
      </c>
      <c r="B2777" s="273">
        <f t="shared" si="291"/>
        <v>0</v>
      </c>
      <c r="C2777" s="273">
        <f t="shared" si="292"/>
        <v>48.903754666808268</v>
      </c>
      <c r="D2777" s="273">
        <f t="shared" si="293"/>
        <v>48.903754666808268</v>
      </c>
      <c r="E2777" s="265"/>
    </row>
    <row r="2778" spans="1:5">
      <c r="A2778" s="285" t="s">
        <v>1521</v>
      </c>
      <c r="B2778" s="273">
        <f t="shared" si="291"/>
        <v>0</v>
      </c>
      <c r="C2778" s="273">
        <f t="shared" si="292"/>
        <v>48.903754666808268</v>
      </c>
      <c r="D2778" s="273">
        <f t="shared" si="293"/>
        <v>48.903754666808268</v>
      </c>
      <c r="E2778" s="265"/>
    </row>
    <row r="2780" spans="1:5" ht="21" customHeight="1">
      <c r="A2780" s="1" t="s">
        <v>640</v>
      </c>
    </row>
    <row r="2781" spans="1:5">
      <c r="A2781" s="264" t="s">
        <v>217</v>
      </c>
    </row>
    <row r="2782" spans="1:5">
      <c r="A2782" s="269" t="s">
        <v>641</v>
      </c>
    </row>
    <row r="2783" spans="1:5">
      <c r="A2783" s="269" t="s">
        <v>1261</v>
      </c>
    </row>
    <row r="2784" spans="1:5">
      <c r="A2784" s="264" t="s">
        <v>642</v>
      </c>
    </row>
    <row r="2786" spans="1:6" ht="30">
      <c r="B2786" s="284" t="s">
        <v>575</v>
      </c>
    </row>
    <row r="2787" spans="1:6">
      <c r="A2787" s="285" t="s">
        <v>93</v>
      </c>
      <c r="B2787" s="273">
        <f>0.1*$K$2724*$B$822</f>
        <v>0.95242632914781233</v>
      </c>
      <c r="C2787" s="265"/>
    </row>
    <row r="2788" spans="1:6">
      <c r="A2788" s="285" t="s">
        <v>94</v>
      </c>
      <c r="B2788" s="273">
        <f>0.1*$K$2724*$B$822</f>
        <v>0.95242632914781233</v>
      </c>
      <c r="C2788" s="265"/>
    </row>
    <row r="2789" spans="1:6">
      <c r="A2789" s="285" t="s">
        <v>95</v>
      </c>
      <c r="B2789" s="273">
        <f>0.1*$K$2724*$B$822</f>
        <v>0.95242632914781233</v>
      </c>
      <c r="C2789" s="265"/>
    </row>
    <row r="2790" spans="1:6">
      <c r="A2790" s="285" t="s">
        <v>96</v>
      </c>
      <c r="B2790" s="273">
        <f>0.1*$K$2724*$B$822</f>
        <v>0.95242632914781233</v>
      </c>
      <c r="C2790" s="265"/>
    </row>
    <row r="2791" spans="1:6">
      <c r="A2791" s="285" t="s">
        <v>97</v>
      </c>
      <c r="B2791" s="273">
        <f>0.1*$K$2724*$B$822</f>
        <v>0.95242632914781233</v>
      </c>
      <c r="C2791" s="265"/>
    </row>
    <row r="2793" spans="1:6" ht="21" customHeight="1">
      <c r="A2793" s="1" t="str">
        <f>"Customer contributions for "&amp;CDCM!B7&amp;" in "&amp;CDCM!C7&amp;" ("&amp;CDCM!D7&amp;")"</f>
        <v>Customer contributions for 0 in 0 (0)</v>
      </c>
    </row>
    <row r="2794" spans="1:6">
      <c r="A2794" s="264" t="s">
        <v>643</v>
      </c>
    </row>
    <row r="2796" spans="1:6" ht="21" customHeight="1">
      <c r="A2796" s="1" t="s">
        <v>644</v>
      </c>
    </row>
    <row r="2798" spans="1:6">
      <c r="B2798" s="284" t="s">
        <v>190</v>
      </c>
      <c r="C2798" s="284" t="s">
        <v>191</v>
      </c>
      <c r="D2798" s="284" t="s">
        <v>192</v>
      </c>
      <c r="E2798" s="284" t="s">
        <v>193</v>
      </c>
    </row>
    <row r="2799" spans="1:6">
      <c r="A2799" s="285" t="s">
        <v>54</v>
      </c>
      <c r="B2799" s="297">
        <v>1</v>
      </c>
      <c r="C2799" s="297">
        <v>0</v>
      </c>
      <c r="D2799" s="297">
        <v>0</v>
      </c>
      <c r="E2799" s="297">
        <v>0</v>
      </c>
      <c r="F2799" s="265"/>
    </row>
    <row r="2800" spans="1:6">
      <c r="A2800" s="285" t="s">
        <v>55</v>
      </c>
      <c r="B2800" s="297">
        <v>1</v>
      </c>
      <c r="C2800" s="297">
        <v>0</v>
      </c>
      <c r="D2800" s="297">
        <v>0</v>
      </c>
      <c r="E2800" s="297">
        <v>0</v>
      </c>
      <c r="F2800" s="265"/>
    </row>
    <row r="2801" spans="1:6">
      <c r="A2801" s="285" t="s">
        <v>91</v>
      </c>
      <c r="B2801" s="297">
        <v>1</v>
      </c>
      <c r="C2801" s="297">
        <v>0</v>
      </c>
      <c r="D2801" s="297">
        <v>0</v>
      </c>
      <c r="E2801" s="297">
        <v>0</v>
      </c>
      <c r="F2801" s="265"/>
    </row>
    <row r="2802" spans="1:6">
      <c r="A2802" s="285" t="s">
        <v>56</v>
      </c>
      <c r="B2802" s="297">
        <v>1</v>
      </c>
      <c r="C2802" s="297">
        <v>0</v>
      </c>
      <c r="D2802" s="297">
        <v>0</v>
      </c>
      <c r="E2802" s="297">
        <v>0</v>
      </c>
      <c r="F2802" s="265"/>
    </row>
    <row r="2803" spans="1:6">
      <c r="A2803" s="285" t="s">
        <v>57</v>
      </c>
      <c r="B2803" s="297">
        <v>1</v>
      </c>
      <c r="C2803" s="297">
        <v>0</v>
      </c>
      <c r="D2803" s="297">
        <v>0</v>
      </c>
      <c r="E2803" s="297">
        <v>0</v>
      </c>
      <c r="F2803" s="265"/>
    </row>
    <row r="2804" spans="1:6">
      <c r="A2804" s="285" t="s">
        <v>92</v>
      </c>
      <c r="B2804" s="297">
        <v>1</v>
      </c>
      <c r="C2804" s="297">
        <v>0</v>
      </c>
      <c r="D2804" s="297">
        <v>0</v>
      </c>
      <c r="E2804" s="297">
        <v>0</v>
      </c>
      <c r="F2804" s="265"/>
    </row>
    <row r="2805" spans="1:6">
      <c r="A2805" s="285" t="s">
        <v>58</v>
      </c>
      <c r="B2805" s="297">
        <v>1</v>
      </c>
      <c r="C2805" s="297">
        <v>0</v>
      </c>
      <c r="D2805" s="297">
        <v>0</v>
      </c>
      <c r="E2805" s="297">
        <v>0</v>
      </c>
      <c r="F2805" s="265"/>
    </row>
    <row r="2806" spans="1:6">
      <c r="A2806" s="285" t="s">
        <v>59</v>
      </c>
      <c r="B2806" s="297">
        <v>0</v>
      </c>
      <c r="C2806" s="297">
        <v>1</v>
      </c>
      <c r="D2806" s="297">
        <v>0</v>
      </c>
      <c r="E2806" s="297">
        <v>0</v>
      </c>
      <c r="F2806" s="265"/>
    </row>
    <row r="2807" spans="1:6">
      <c r="A2807" s="285" t="s">
        <v>72</v>
      </c>
      <c r="B2807" s="297">
        <v>0</v>
      </c>
      <c r="C2807" s="297">
        <v>0</v>
      </c>
      <c r="D2807" s="297">
        <v>1</v>
      </c>
      <c r="E2807" s="297">
        <v>0</v>
      </c>
      <c r="F2807" s="265"/>
    </row>
    <row r="2808" spans="1:6">
      <c r="A2808" s="285" t="s">
        <v>1178</v>
      </c>
      <c r="B2808" s="297">
        <v>1</v>
      </c>
      <c r="C2808" s="297">
        <v>0</v>
      </c>
      <c r="D2808" s="297">
        <v>0</v>
      </c>
      <c r="E2808" s="297">
        <v>0</v>
      </c>
      <c r="F2808" s="265"/>
    </row>
    <row r="2809" spans="1:6">
      <c r="A2809" s="285" t="s">
        <v>1177</v>
      </c>
      <c r="B2809" s="297">
        <v>1</v>
      </c>
      <c r="C2809" s="297">
        <v>0</v>
      </c>
      <c r="D2809" s="297">
        <v>0</v>
      </c>
      <c r="E2809" s="297">
        <v>0</v>
      </c>
      <c r="F2809" s="265"/>
    </row>
    <row r="2810" spans="1:6">
      <c r="A2810" s="285" t="s">
        <v>60</v>
      </c>
      <c r="B2810" s="297">
        <v>1</v>
      </c>
      <c r="C2810" s="297">
        <v>0</v>
      </c>
      <c r="D2810" s="297">
        <v>0</v>
      </c>
      <c r="E2810" s="297">
        <v>0</v>
      </c>
      <c r="F2810" s="265"/>
    </row>
    <row r="2811" spans="1:6">
      <c r="A2811" s="285" t="s">
        <v>61</v>
      </c>
      <c r="B2811" s="297">
        <v>0</v>
      </c>
      <c r="C2811" s="297">
        <v>1</v>
      </c>
      <c r="D2811" s="297">
        <v>0</v>
      </c>
      <c r="E2811" s="297">
        <v>0</v>
      </c>
      <c r="F2811" s="265"/>
    </row>
    <row r="2812" spans="1:6">
      <c r="A2812" s="285" t="s">
        <v>73</v>
      </c>
      <c r="B2812" s="297">
        <v>0</v>
      </c>
      <c r="C2812" s="297">
        <v>0</v>
      </c>
      <c r="D2812" s="297">
        <v>1</v>
      </c>
      <c r="E2812" s="297">
        <v>0</v>
      </c>
      <c r="F2812" s="265"/>
    </row>
    <row r="2813" spans="1:6">
      <c r="A2813" s="285" t="s">
        <v>93</v>
      </c>
      <c r="B2813" s="297">
        <v>1</v>
      </c>
      <c r="C2813" s="297">
        <v>0</v>
      </c>
      <c r="D2813" s="297">
        <v>0</v>
      </c>
      <c r="E2813" s="297">
        <v>0</v>
      </c>
      <c r="F2813" s="265"/>
    </row>
    <row r="2814" spans="1:6">
      <c r="A2814" s="285" t="s">
        <v>94</v>
      </c>
      <c r="B2814" s="297">
        <v>1</v>
      </c>
      <c r="C2814" s="297">
        <v>0</v>
      </c>
      <c r="D2814" s="297">
        <v>0</v>
      </c>
      <c r="E2814" s="297">
        <v>0</v>
      </c>
      <c r="F2814" s="265"/>
    </row>
    <row r="2815" spans="1:6">
      <c r="A2815" s="285" t="s">
        <v>95</v>
      </c>
      <c r="B2815" s="297">
        <v>1</v>
      </c>
      <c r="C2815" s="297">
        <v>0</v>
      </c>
      <c r="D2815" s="297">
        <v>0</v>
      </c>
      <c r="E2815" s="297">
        <v>0</v>
      </c>
      <c r="F2815" s="265"/>
    </row>
    <row r="2816" spans="1:6">
      <c r="A2816" s="285" t="s">
        <v>96</v>
      </c>
      <c r="B2816" s="297">
        <v>1</v>
      </c>
      <c r="C2816" s="297">
        <v>0</v>
      </c>
      <c r="D2816" s="297">
        <v>0</v>
      </c>
      <c r="E2816" s="297">
        <v>0</v>
      </c>
      <c r="F2816" s="265"/>
    </row>
    <row r="2817" spans="1:6">
      <c r="A2817" s="285" t="s">
        <v>97</v>
      </c>
      <c r="B2817" s="297">
        <v>1</v>
      </c>
      <c r="C2817" s="297">
        <v>0</v>
      </c>
      <c r="D2817" s="297">
        <v>0</v>
      </c>
      <c r="E2817" s="297">
        <v>0</v>
      </c>
      <c r="F2817" s="265"/>
    </row>
    <row r="2818" spans="1:6">
      <c r="A2818" s="285" t="s">
        <v>1176</v>
      </c>
      <c r="B2818" s="297">
        <v>1</v>
      </c>
      <c r="C2818" s="297">
        <v>0</v>
      </c>
      <c r="D2818" s="297">
        <v>0</v>
      </c>
      <c r="E2818" s="297">
        <v>0</v>
      </c>
      <c r="F2818" s="265"/>
    </row>
    <row r="2819" spans="1:6">
      <c r="A2819" s="285" t="s">
        <v>62</v>
      </c>
      <c r="B2819" s="297">
        <v>0</v>
      </c>
      <c r="C2819" s="297">
        <v>1</v>
      </c>
      <c r="D2819" s="297">
        <v>0</v>
      </c>
      <c r="E2819" s="297">
        <v>0</v>
      </c>
      <c r="F2819" s="265"/>
    </row>
    <row r="2820" spans="1:6">
      <c r="A2820" s="285" t="s">
        <v>63</v>
      </c>
      <c r="B2820" s="297">
        <v>1</v>
      </c>
      <c r="C2820" s="297">
        <v>0</v>
      </c>
      <c r="D2820" s="297">
        <v>0</v>
      </c>
      <c r="E2820" s="297">
        <v>0</v>
      </c>
      <c r="F2820" s="265"/>
    </row>
    <row r="2821" spans="1:6">
      <c r="A2821" s="285" t="s">
        <v>1516</v>
      </c>
      <c r="B2821" s="297">
        <v>1</v>
      </c>
      <c r="C2821" s="297">
        <v>0</v>
      </c>
      <c r="D2821" s="297">
        <v>0</v>
      </c>
      <c r="E2821" s="297">
        <v>0</v>
      </c>
      <c r="F2821" s="265"/>
    </row>
    <row r="2822" spans="1:6">
      <c r="A2822" s="285" t="s">
        <v>64</v>
      </c>
      <c r="B2822" s="297">
        <v>1</v>
      </c>
      <c r="C2822" s="297">
        <v>0</v>
      </c>
      <c r="D2822" s="297">
        <v>0</v>
      </c>
      <c r="E2822" s="297">
        <v>0</v>
      </c>
      <c r="F2822" s="265"/>
    </row>
    <row r="2823" spans="1:6">
      <c r="A2823" s="285" t="s">
        <v>1517</v>
      </c>
      <c r="B2823" s="297">
        <v>1</v>
      </c>
      <c r="C2823" s="297">
        <v>0</v>
      </c>
      <c r="D2823" s="297">
        <v>0</v>
      </c>
      <c r="E2823" s="297">
        <v>0</v>
      </c>
      <c r="F2823" s="265"/>
    </row>
    <row r="2824" spans="1:6">
      <c r="A2824" s="285" t="s">
        <v>65</v>
      </c>
      <c r="B2824" s="297">
        <v>0</v>
      </c>
      <c r="C2824" s="297">
        <v>1</v>
      </c>
      <c r="D2824" s="297">
        <v>0</v>
      </c>
      <c r="E2824" s="297">
        <v>0</v>
      </c>
      <c r="F2824" s="265"/>
    </row>
    <row r="2825" spans="1:6">
      <c r="A2825" s="285" t="s">
        <v>1518</v>
      </c>
      <c r="B2825" s="297">
        <v>0</v>
      </c>
      <c r="C2825" s="297">
        <v>1</v>
      </c>
      <c r="D2825" s="297">
        <v>0</v>
      </c>
      <c r="E2825" s="297">
        <v>0</v>
      </c>
      <c r="F2825" s="265"/>
    </row>
    <row r="2826" spans="1:6">
      <c r="A2826" s="285" t="s">
        <v>66</v>
      </c>
      <c r="B2826" s="297">
        <v>0</v>
      </c>
      <c r="C2826" s="297">
        <v>1</v>
      </c>
      <c r="D2826" s="297">
        <v>0</v>
      </c>
      <c r="E2826" s="297">
        <v>0</v>
      </c>
      <c r="F2826" s="265"/>
    </row>
    <row r="2827" spans="1:6">
      <c r="A2827" s="285" t="s">
        <v>1519</v>
      </c>
      <c r="B2827" s="297">
        <v>0</v>
      </c>
      <c r="C2827" s="297">
        <v>1</v>
      </c>
      <c r="D2827" s="297">
        <v>0</v>
      </c>
      <c r="E2827" s="297">
        <v>0</v>
      </c>
      <c r="F2827" s="265"/>
    </row>
    <row r="2828" spans="1:6">
      <c r="A2828" s="285" t="s">
        <v>74</v>
      </c>
      <c r="B2828" s="297">
        <v>0</v>
      </c>
      <c r="C2828" s="297">
        <v>0</v>
      </c>
      <c r="D2828" s="297">
        <v>1</v>
      </c>
      <c r="E2828" s="297">
        <v>0</v>
      </c>
      <c r="F2828" s="265"/>
    </row>
    <row r="2829" spans="1:6">
      <c r="A2829" s="285" t="s">
        <v>1520</v>
      </c>
      <c r="B2829" s="297">
        <v>0</v>
      </c>
      <c r="C2829" s="297">
        <v>0</v>
      </c>
      <c r="D2829" s="297">
        <v>1</v>
      </c>
      <c r="E2829" s="297">
        <v>0</v>
      </c>
      <c r="F2829" s="265"/>
    </row>
    <row r="2830" spans="1:6">
      <c r="A2830" s="285" t="s">
        <v>75</v>
      </c>
      <c r="B2830" s="297">
        <v>0</v>
      </c>
      <c r="C2830" s="297">
        <v>0</v>
      </c>
      <c r="D2830" s="297">
        <v>1</v>
      </c>
      <c r="E2830" s="297">
        <v>0</v>
      </c>
      <c r="F2830" s="265"/>
    </row>
    <row r="2831" spans="1:6">
      <c r="A2831" s="285" t="s">
        <v>1521</v>
      </c>
      <c r="B2831" s="297">
        <v>0</v>
      </c>
      <c r="C2831" s="297">
        <v>0</v>
      </c>
      <c r="D2831" s="297">
        <v>1</v>
      </c>
      <c r="E2831" s="297">
        <v>0</v>
      </c>
      <c r="F2831" s="265"/>
    </row>
    <row r="2833" spans="1:6" ht="21" customHeight="1">
      <c r="A2833" s="1" t="s">
        <v>645</v>
      </c>
    </row>
    <row r="2834" spans="1:6">
      <c r="A2834" s="264" t="s">
        <v>217</v>
      </c>
    </row>
    <row r="2835" spans="1:6">
      <c r="A2835" s="269" t="s">
        <v>646</v>
      </c>
    </row>
    <row r="2836" spans="1:6">
      <c r="A2836" s="269" t="s">
        <v>647</v>
      </c>
    </row>
    <row r="2837" spans="1:6">
      <c r="A2837" s="264" t="s">
        <v>648</v>
      </c>
    </row>
    <row r="2839" spans="1:6">
      <c r="B2839" s="284" t="s">
        <v>190</v>
      </c>
      <c r="C2839" s="284" t="s">
        <v>191</v>
      </c>
      <c r="D2839" s="284" t="s">
        <v>192</v>
      </c>
      <c r="E2839" s="284" t="s">
        <v>193</v>
      </c>
    </row>
    <row r="2840" spans="1:6">
      <c r="A2840" s="285" t="s">
        <v>314</v>
      </c>
      <c r="B2840" s="289">
        <f>$B$275*(1-$D$14)</f>
        <v>0</v>
      </c>
      <c r="C2840" s="289">
        <f>$B$276*(1-$D$14)</f>
        <v>0</v>
      </c>
      <c r="D2840" s="289">
        <f>$B$277*(1-$D$14)</f>
        <v>0</v>
      </c>
      <c r="E2840" s="289">
        <f>$B$278*(1-$D$14)</f>
        <v>0</v>
      </c>
      <c r="F2840" s="265"/>
    </row>
    <row r="2841" spans="1:6">
      <c r="A2841" s="285" t="s">
        <v>315</v>
      </c>
      <c r="B2841" s="289">
        <f>$C$275*(1-$D$14)</f>
        <v>0</v>
      </c>
      <c r="C2841" s="289">
        <f>$C$276*(1-$D$14)</f>
        <v>0</v>
      </c>
      <c r="D2841" s="289">
        <f>$C$277*(1-$D$14)</f>
        <v>0.67</v>
      </c>
      <c r="E2841" s="289">
        <f>$C$278*(1-$D$14)</f>
        <v>0.67</v>
      </c>
      <c r="F2841" s="265"/>
    </row>
    <row r="2842" spans="1:6">
      <c r="A2842" s="285" t="s">
        <v>316</v>
      </c>
      <c r="B2842" s="289">
        <f>$D$275*(1-$D$14)</f>
        <v>0</v>
      </c>
      <c r="C2842" s="289">
        <f>$D$276*(1-$D$14)</f>
        <v>0</v>
      </c>
      <c r="D2842" s="289">
        <f>$D$277*(1-$D$14)</f>
        <v>0.67</v>
      </c>
      <c r="E2842" s="289">
        <f>$D$278*(1-$D$14)</f>
        <v>0.67</v>
      </c>
      <c r="F2842" s="265"/>
    </row>
    <row r="2843" spans="1:6">
      <c r="A2843" s="285" t="s">
        <v>317</v>
      </c>
      <c r="B2843" s="289">
        <f>$E$275*(1-$D$14)</f>
        <v>0.81</v>
      </c>
      <c r="C2843" s="289">
        <f>$E$276*(1-$D$14)</f>
        <v>0.81</v>
      </c>
      <c r="D2843" s="289">
        <f>$E$277*(1-$D$14)</f>
        <v>1</v>
      </c>
      <c r="E2843" s="289">
        <f>$E$278*(1-$D$14)</f>
        <v>1</v>
      </c>
      <c r="F2843" s="265"/>
    </row>
    <row r="2844" spans="1:6">
      <c r="A2844" s="285" t="s">
        <v>318</v>
      </c>
      <c r="B2844" s="289">
        <f>$F$275*(1-$D$14)</f>
        <v>0</v>
      </c>
      <c r="C2844" s="289">
        <f>$F$276*(1-$D$14)</f>
        <v>0</v>
      </c>
      <c r="D2844" s="289">
        <f>$F$277*(1-$D$14)</f>
        <v>0</v>
      </c>
      <c r="E2844" s="289">
        <f>$F$278*(1-$D$14)</f>
        <v>0</v>
      </c>
      <c r="F2844" s="265"/>
    </row>
    <row r="2845" spans="1:6">
      <c r="A2845" s="285" t="s">
        <v>319</v>
      </c>
      <c r="B2845" s="289">
        <f>$G$275*(1-$D$14)</f>
        <v>0.81</v>
      </c>
      <c r="C2845" s="289">
        <f>$G$276*(1-$D$14)</f>
        <v>0.81</v>
      </c>
      <c r="D2845" s="289">
        <f>$G$277*(1-$D$14)</f>
        <v>1</v>
      </c>
      <c r="E2845" s="289">
        <f>$G$278*(1-$D$14)</f>
        <v>0</v>
      </c>
      <c r="F2845" s="265"/>
    </row>
    <row r="2846" spans="1:6">
      <c r="A2846" s="285" t="s">
        <v>320</v>
      </c>
      <c r="B2846" s="289">
        <f>$H$275*(1-$D$14)</f>
        <v>0.95</v>
      </c>
      <c r="C2846" s="289">
        <f>$H$276*(1-$D$14)</f>
        <v>0.95</v>
      </c>
      <c r="D2846" s="289">
        <f>$H$277*(1-$D$14)</f>
        <v>0</v>
      </c>
      <c r="E2846" s="289">
        <f>$H$278*(1-$D$14)</f>
        <v>0</v>
      </c>
      <c r="F2846" s="265"/>
    </row>
    <row r="2847" spans="1:6">
      <c r="A2847" s="285" t="s">
        <v>321</v>
      </c>
      <c r="B2847" s="289">
        <f>$I$275*(1-$D$14)</f>
        <v>0.95</v>
      </c>
      <c r="C2847" s="289">
        <f>$I$276*(1-$D$14)</f>
        <v>0</v>
      </c>
      <c r="D2847" s="289">
        <f>$I$277*(1-$D$14)</f>
        <v>0</v>
      </c>
      <c r="E2847" s="289">
        <f>$I$278*(1-$D$14)</f>
        <v>0</v>
      </c>
      <c r="F2847" s="265"/>
    </row>
    <row r="2849" spans="1:10" ht="21" customHeight="1">
      <c r="A2849" s="1" t="s">
        <v>1578</v>
      </c>
    </row>
    <row r="2850" spans="1:10">
      <c r="A2850" s="264" t="s">
        <v>217</v>
      </c>
    </row>
    <row r="2851" spans="1:10">
      <c r="A2851" s="269" t="s">
        <v>649</v>
      </c>
    </row>
    <row r="2852" spans="1:10">
      <c r="A2852" s="269" t="s">
        <v>650</v>
      </c>
    </row>
    <row r="2853" spans="1:10">
      <c r="A2853" s="264" t="s">
        <v>230</v>
      </c>
    </row>
    <row r="2855" spans="1:10" ht="30">
      <c r="B2855" s="284" t="s">
        <v>182</v>
      </c>
      <c r="C2855" s="284" t="s">
        <v>183</v>
      </c>
      <c r="D2855" s="284" t="s">
        <v>184</v>
      </c>
      <c r="E2855" s="284" t="s">
        <v>185</v>
      </c>
      <c r="F2855" s="284" t="s">
        <v>186</v>
      </c>
      <c r="G2855" s="284" t="s">
        <v>187</v>
      </c>
      <c r="H2855" s="284" t="s">
        <v>188</v>
      </c>
      <c r="I2855" s="284" t="s">
        <v>189</v>
      </c>
    </row>
    <row r="2856" spans="1:10">
      <c r="A2856" s="285" t="s">
        <v>54</v>
      </c>
      <c r="B2856" s="289">
        <f t="shared" ref="B2856:B2888" si="294">SUMPRODUCT($B2799:$E2799,$B$2840:$E$2840)</f>
        <v>0</v>
      </c>
      <c r="C2856" s="289">
        <f t="shared" ref="C2856:C2888" si="295">SUMPRODUCT($B2799:$E2799,$B$2841:$E$2841)</f>
        <v>0</v>
      </c>
      <c r="D2856" s="289">
        <f t="shared" ref="D2856:D2888" si="296">SUMPRODUCT($B2799:$E2799,$B$2842:$E$2842)</f>
        <v>0</v>
      </c>
      <c r="E2856" s="289">
        <f t="shared" ref="E2856:E2888" si="297">SUMPRODUCT($B2799:$E2799,$B$2843:$E$2843)</f>
        <v>0.81</v>
      </c>
      <c r="F2856" s="289">
        <f t="shared" ref="F2856:F2888" si="298">SUMPRODUCT($B2799:$E2799,$B$2844:$E$2844)</f>
        <v>0</v>
      </c>
      <c r="G2856" s="289">
        <f t="shared" ref="G2856:G2888" si="299">SUMPRODUCT($B2799:$E2799,$B$2845:$E$2845)</f>
        <v>0.81</v>
      </c>
      <c r="H2856" s="289">
        <f t="shared" ref="H2856:H2888" si="300">SUMPRODUCT($B2799:$E2799,$B$2846:$E$2846)</f>
        <v>0.95</v>
      </c>
      <c r="I2856" s="289">
        <f t="shared" ref="I2856:I2888" si="301">SUMPRODUCT($B2799:$E2799,$B$2847:$E$2847)</f>
        <v>0.95</v>
      </c>
      <c r="J2856" s="265"/>
    </row>
    <row r="2857" spans="1:10">
      <c r="A2857" s="285" t="s">
        <v>55</v>
      </c>
      <c r="B2857" s="289">
        <f t="shared" si="294"/>
        <v>0</v>
      </c>
      <c r="C2857" s="289">
        <f t="shared" si="295"/>
        <v>0</v>
      </c>
      <c r="D2857" s="289">
        <f t="shared" si="296"/>
        <v>0</v>
      </c>
      <c r="E2857" s="289">
        <f t="shared" si="297"/>
        <v>0.81</v>
      </c>
      <c r="F2857" s="289">
        <f t="shared" si="298"/>
        <v>0</v>
      </c>
      <c r="G2857" s="289">
        <f t="shared" si="299"/>
        <v>0.81</v>
      </c>
      <c r="H2857" s="289">
        <f t="shared" si="300"/>
        <v>0.95</v>
      </c>
      <c r="I2857" s="289">
        <f t="shared" si="301"/>
        <v>0.95</v>
      </c>
      <c r="J2857" s="265"/>
    </row>
    <row r="2858" spans="1:10">
      <c r="A2858" s="285" t="s">
        <v>91</v>
      </c>
      <c r="B2858" s="289">
        <f t="shared" si="294"/>
        <v>0</v>
      </c>
      <c r="C2858" s="289">
        <f t="shared" si="295"/>
        <v>0</v>
      </c>
      <c r="D2858" s="289">
        <f t="shared" si="296"/>
        <v>0</v>
      </c>
      <c r="E2858" s="289">
        <f t="shared" si="297"/>
        <v>0.81</v>
      </c>
      <c r="F2858" s="289">
        <f t="shared" si="298"/>
        <v>0</v>
      </c>
      <c r="G2858" s="289">
        <f t="shared" si="299"/>
        <v>0.81</v>
      </c>
      <c r="H2858" s="289">
        <f t="shared" si="300"/>
        <v>0.95</v>
      </c>
      <c r="I2858" s="289">
        <f t="shared" si="301"/>
        <v>0.95</v>
      </c>
      <c r="J2858" s="265"/>
    </row>
    <row r="2859" spans="1:10">
      <c r="A2859" s="285" t="s">
        <v>56</v>
      </c>
      <c r="B2859" s="289">
        <f t="shared" si="294"/>
        <v>0</v>
      </c>
      <c r="C2859" s="289">
        <f t="shared" si="295"/>
        <v>0</v>
      </c>
      <c r="D2859" s="289">
        <f t="shared" si="296"/>
        <v>0</v>
      </c>
      <c r="E2859" s="289">
        <f t="shared" si="297"/>
        <v>0.81</v>
      </c>
      <c r="F2859" s="289">
        <f t="shared" si="298"/>
        <v>0</v>
      </c>
      <c r="G2859" s="289">
        <f t="shared" si="299"/>
        <v>0.81</v>
      </c>
      <c r="H2859" s="289">
        <f t="shared" si="300"/>
        <v>0.95</v>
      </c>
      <c r="I2859" s="289">
        <f t="shared" si="301"/>
        <v>0.95</v>
      </c>
      <c r="J2859" s="265"/>
    </row>
    <row r="2860" spans="1:10">
      <c r="A2860" s="285" t="s">
        <v>57</v>
      </c>
      <c r="B2860" s="289">
        <f t="shared" si="294"/>
        <v>0</v>
      </c>
      <c r="C2860" s="289">
        <f t="shared" si="295"/>
        <v>0</v>
      </c>
      <c r="D2860" s="289">
        <f t="shared" si="296"/>
        <v>0</v>
      </c>
      <c r="E2860" s="289">
        <f t="shared" si="297"/>
        <v>0.81</v>
      </c>
      <c r="F2860" s="289">
        <f t="shared" si="298"/>
        <v>0</v>
      </c>
      <c r="G2860" s="289">
        <f t="shared" si="299"/>
        <v>0.81</v>
      </c>
      <c r="H2860" s="289">
        <f t="shared" si="300"/>
        <v>0.95</v>
      </c>
      <c r="I2860" s="289">
        <f t="shared" si="301"/>
        <v>0.95</v>
      </c>
      <c r="J2860" s="265"/>
    </row>
    <row r="2861" spans="1:10">
      <c r="A2861" s="285" t="s">
        <v>92</v>
      </c>
      <c r="B2861" s="289">
        <f t="shared" si="294"/>
        <v>0</v>
      </c>
      <c r="C2861" s="289">
        <f t="shared" si="295"/>
        <v>0</v>
      </c>
      <c r="D2861" s="289">
        <f t="shared" si="296"/>
        <v>0</v>
      </c>
      <c r="E2861" s="289">
        <f t="shared" si="297"/>
        <v>0.81</v>
      </c>
      <c r="F2861" s="289">
        <f t="shared" si="298"/>
        <v>0</v>
      </c>
      <c r="G2861" s="289">
        <f t="shared" si="299"/>
        <v>0.81</v>
      </c>
      <c r="H2861" s="289">
        <f t="shared" si="300"/>
        <v>0.95</v>
      </c>
      <c r="I2861" s="289">
        <f t="shared" si="301"/>
        <v>0.95</v>
      </c>
      <c r="J2861" s="265"/>
    </row>
    <row r="2862" spans="1:10">
      <c r="A2862" s="285" t="s">
        <v>58</v>
      </c>
      <c r="B2862" s="289">
        <f t="shared" si="294"/>
        <v>0</v>
      </c>
      <c r="C2862" s="289">
        <f t="shared" si="295"/>
        <v>0</v>
      </c>
      <c r="D2862" s="289">
        <f t="shared" si="296"/>
        <v>0</v>
      </c>
      <c r="E2862" s="289">
        <f t="shared" si="297"/>
        <v>0.81</v>
      </c>
      <c r="F2862" s="289">
        <f t="shared" si="298"/>
        <v>0</v>
      </c>
      <c r="G2862" s="289">
        <f t="shared" si="299"/>
        <v>0.81</v>
      </c>
      <c r="H2862" s="289">
        <f t="shared" si="300"/>
        <v>0.95</v>
      </c>
      <c r="I2862" s="289">
        <f t="shared" si="301"/>
        <v>0.95</v>
      </c>
      <c r="J2862" s="265"/>
    </row>
    <row r="2863" spans="1:10">
      <c r="A2863" s="285" t="s">
        <v>59</v>
      </c>
      <c r="B2863" s="289">
        <f t="shared" si="294"/>
        <v>0</v>
      </c>
      <c r="C2863" s="289">
        <f t="shared" si="295"/>
        <v>0</v>
      </c>
      <c r="D2863" s="289">
        <f t="shared" si="296"/>
        <v>0</v>
      </c>
      <c r="E2863" s="289">
        <f t="shared" si="297"/>
        <v>0.81</v>
      </c>
      <c r="F2863" s="289">
        <f t="shared" si="298"/>
        <v>0</v>
      </c>
      <c r="G2863" s="289">
        <f t="shared" si="299"/>
        <v>0.81</v>
      </c>
      <c r="H2863" s="289">
        <f t="shared" si="300"/>
        <v>0.95</v>
      </c>
      <c r="I2863" s="289">
        <f t="shared" si="301"/>
        <v>0</v>
      </c>
      <c r="J2863" s="265"/>
    </row>
    <row r="2864" spans="1:10">
      <c r="A2864" s="285" t="s">
        <v>72</v>
      </c>
      <c r="B2864" s="289">
        <f t="shared" si="294"/>
        <v>0</v>
      </c>
      <c r="C2864" s="289">
        <f t="shared" si="295"/>
        <v>0.67</v>
      </c>
      <c r="D2864" s="289">
        <f t="shared" si="296"/>
        <v>0.67</v>
      </c>
      <c r="E2864" s="289">
        <f t="shared" si="297"/>
        <v>1</v>
      </c>
      <c r="F2864" s="289">
        <f t="shared" si="298"/>
        <v>0</v>
      </c>
      <c r="G2864" s="289">
        <f t="shared" si="299"/>
        <v>1</v>
      </c>
      <c r="H2864" s="289">
        <f t="shared" si="300"/>
        <v>0</v>
      </c>
      <c r="I2864" s="289">
        <f t="shared" si="301"/>
        <v>0</v>
      </c>
      <c r="J2864" s="265"/>
    </row>
    <row r="2865" spans="1:10">
      <c r="A2865" s="285" t="s">
        <v>1178</v>
      </c>
      <c r="B2865" s="289">
        <f t="shared" si="294"/>
        <v>0</v>
      </c>
      <c r="C2865" s="289">
        <f t="shared" si="295"/>
        <v>0</v>
      </c>
      <c r="D2865" s="289">
        <f t="shared" si="296"/>
        <v>0</v>
      </c>
      <c r="E2865" s="289">
        <f t="shared" si="297"/>
        <v>0.81</v>
      </c>
      <c r="F2865" s="289">
        <f t="shared" si="298"/>
        <v>0</v>
      </c>
      <c r="G2865" s="289">
        <f t="shared" si="299"/>
        <v>0.81</v>
      </c>
      <c r="H2865" s="289">
        <f t="shared" si="300"/>
        <v>0.95</v>
      </c>
      <c r="I2865" s="289">
        <f t="shared" si="301"/>
        <v>0.95</v>
      </c>
      <c r="J2865" s="265"/>
    </row>
    <row r="2866" spans="1:10">
      <c r="A2866" s="285" t="s">
        <v>1177</v>
      </c>
      <c r="B2866" s="289">
        <f t="shared" si="294"/>
        <v>0</v>
      </c>
      <c r="C2866" s="289">
        <f t="shared" si="295"/>
        <v>0</v>
      </c>
      <c r="D2866" s="289">
        <f t="shared" si="296"/>
        <v>0</v>
      </c>
      <c r="E2866" s="289">
        <f t="shared" si="297"/>
        <v>0.81</v>
      </c>
      <c r="F2866" s="289">
        <f t="shared" si="298"/>
        <v>0</v>
      </c>
      <c r="G2866" s="289">
        <f t="shared" si="299"/>
        <v>0.81</v>
      </c>
      <c r="H2866" s="289">
        <f t="shared" si="300"/>
        <v>0.95</v>
      </c>
      <c r="I2866" s="289">
        <f t="shared" si="301"/>
        <v>0.95</v>
      </c>
      <c r="J2866" s="265"/>
    </row>
    <row r="2867" spans="1:10">
      <c r="A2867" s="285" t="s">
        <v>60</v>
      </c>
      <c r="B2867" s="289">
        <f t="shared" si="294"/>
        <v>0</v>
      </c>
      <c r="C2867" s="289">
        <f t="shared" si="295"/>
        <v>0</v>
      </c>
      <c r="D2867" s="289">
        <f t="shared" si="296"/>
        <v>0</v>
      </c>
      <c r="E2867" s="289">
        <f t="shared" si="297"/>
        <v>0.81</v>
      </c>
      <c r="F2867" s="289">
        <f t="shared" si="298"/>
        <v>0</v>
      </c>
      <c r="G2867" s="289">
        <f t="shared" si="299"/>
        <v>0.81</v>
      </c>
      <c r="H2867" s="289">
        <f t="shared" si="300"/>
        <v>0.95</v>
      </c>
      <c r="I2867" s="289">
        <f t="shared" si="301"/>
        <v>0.95</v>
      </c>
      <c r="J2867" s="265"/>
    </row>
    <row r="2868" spans="1:10">
      <c r="A2868" s="285" t="s">
        <v>61</v>
      </c>
      <c r="B2868" s="289">
        <f t="shared" si="294"/>
        <v>0</v>
      </c>
      <c r="C2868" s="289">
        <f t="shared" si="295"/>
        <v>0</v>
      </c>
      <c r="D2868" s="289">
        <f t="shared" si="296"/>
        <v>0</v>
      </c>
      <c r="E2868" s="289">
        <f t="shared" si="297"/>
        <v>0.81</v>
      </c>
      <c r="F2868" s="289">
        <f t="shared" si="298"/>
        <v>0</v>
      </c>
      <c r="G2868" s="289">
        <f t="shared" si="299"/>
        <v>0.81</v>
      </c>
      <c r="H2868" s="289">
        <f t="shared" si="300"/>
        <v>0.95</v>
      </c>
      <c r="I2868" s="289">
        <f t="shared" si="301"/>
        <v>0</v>
      </c>
      <c r="J2868" s="265"/>
    </row>
    <row r="2869" spans="1:10">
      <c r="A2869" s="285" t="s">
        <v>73</v>
      </c>
      <c r="B2869" s="289">
        <f t="shared" si="294"/>
        <v>0</v>
      </c>
      <c r="C2869" s="289">
        <f t="shared" si="295"/>
        <v>0.67</v>
      </c>
      <c r="D2869" s="289">
        <f t="shared" si="296"/>
        <v>0.67</v>
      </c>
      <c r="E2869" s="289">
        <f t="shared" si="297"/>
        <v>1</v>
      </c>
      <c r="F2869" s="289">
        <f t="shared" si="298"/>
        <v>0</v>
      </c>
      <c r="G2869" s="289">
        <f t="shared" si="299"/>
        <v>1</v>
      </c>
      <c r="H2869" s="289">
        <f t="shared" si="300"/>
        <v>0</v>
      </c>
      <c r="I2869" s="289">
        <f t="shared" si="301"/>
        <v>0</v>
      </c>
      <c r="J2869" s="265"/>
    </row>
    <row r="2870" spans="1:10">
      <c r="A2870" s="285" t="s">
        <v>93</v>
      </c>
      <c r="B2870" s="289">
        <f t="shared" si="294"/>
        <v>0</v>
      </c>
      <c r="C2870" s="289">
        <f t="shared" si="295"/>
        <v>0</v>
      </c>
      <c r="D2870" s="289">
        <f t="shared" si="296"/>
        <v>0</v>
      </c>
      <c r="E2870" s="289">
        <f t="shared" si="297"/>
        <v>0.81</v>
      </c>
      <c r="F2870" s="289">
        <f t="shared" si="298"/>
        <v>0</v>
      </c>
      <c r="G2870" s="289">
        <f t="shared" si="299"/>
        <v>0.81</v>
      </c>
      <c r="H2870" s="289">
        <f t="shared" si="300"/>
        <v>0.95</v>
      </c>
      <c r="I2870" s="289">
        <f t="shared" si="301"/>
        <v>0.95</v>
      </c>
      <c r="J2870" s="265"/>
    </row>
    <row r="2871" spans="1:10">
      <c r="A2871" s="285" t="s">
        <v>94</v>
      </c>
      <c r="B2871" s="289">
        <f t="shared" si="294"/>
        <v>0</v>
      </c>
      <c r="C2871" s="289">
        <f t="shared" si="295"/>
        <v>0</v>
      </c>
      <c r="D2871" s="289">
        <f t="shared" si="296"/>
        <v>0</v>
      </c>
      <c r="E2871" s="289">
        <f t="shared" si="297"/>
        <v>0.81</v>
      </c>
      <c r="F2871" s="289">
        <f t="shared" si="298"/>
        <v>0</v>
      </c>
      <c r="G2871" s="289">
        <f t="shared" si="299"/>
        <v>0.81</v>
      </c>
      <c r="H2871" s="289">
        <f t="shared" si="300"/>
        <v>0.95</v>
      </c>
      <c r="I2871" s="289">
        <f t="shared" si="301"/>
        <v>0.95</v>
      </c>
      <c r="J2871" s="265"/>
    </row>
    <row r="2872" spans="1:10">
      <c r="A2872" s="285" t="s">
        <v>95</v>
      </c>
      <c r="B2872" s="289">
        <f t="shared" si="294"/>
        <v>0</v>
      </c>
      <c r="C2872" s="289">
        <f t="shared" si="295"/>
        <v>0</v>
      </c>
      <c r="D2872" s="289">
        <f t="shared" si="296"/>
        <v>0</v>
      </c>
      <c r="E2872" s="289">
        <f t="shared" si="297"/>
        <v>0.81</v>
      </c>
      <c r="F2872" s="289">
        <f t="shared" si="298"/>
        <v>0</v>
      </c>
      <c r="G2872" s="289">
        <f t="shared" si="299"/>
        <v>0.81</v>
      </c>
      <c r="H2872" s="289">
        <f t="shared" si="300"/>
        <v>0.95</v>
      </c>
      <c r="I2872" s="289">
        <f t="shared" si="301"/>
        <v>0.95</v>
      </c>
      <c r="J2872" s="265"/>
    </row>
    <row r="2873" spans="1:10">
      <c r="A2873" s="285" t="s">
        <v>96</v>
      </c>
      <c r="B2873" s="289">
        <f t="shared" si="294"/>
        <v>0</v>
      </c>
      <c r="C2873" s="289">
        <f t="shared" si="295"/>
        <v>0</v>
      </c>
      <c r="D2873" s="289">
        <f t="shared" si="296"/>
        <v>0</v>
      </c>
      <c r="E2873" s="289">
        <f t="shared" si="297"/>
        <v>0.81</v>
      </c>
      <c r="F2873" s="289">
        <f t="shared" si="298"/>
        <v>0</v>
      </c>
      <c r="G2873" s="289">
        <f t="shared" si="299"/>
        <v>0.81</v>
      </c>
      <c r="H2873" s="289">
        <f t="shared" si="300"/>
        <v>0.95</v>
      </c>
      <c r="I2873" s="289">
        <f t="shared" si="301"/>
        <v>0.95</v>
      </c>
      <c r="J2873" s="265"/>
    </row>
    <row r="2874" spans="1:10">
      <c r="A2874" s="285" t="s">
        <v>97</v>
      </c>
      <c r="B2874" s="289">
        <f t="shared" si="294"/>
        <v>0</v>
      </c>
      <c r="C2874" s="289">
        <f t="shared" si="295"/>
        <v>0</v>
      </c>
      <c r="D2874" s="289">
        <f t="shared" si="296"/>
        <v>0</v>
      </c>
      <c r="E2874" s="289">
        <f t="shared" si="297"/>
        <v>0.81</v>
      </c>
      <c r="F2874" s="289">
        <f t="shared" si="298"/>
        <v>0</v>
      </c>
      <c r="G2874" s="289">
        <f t="shared" si="299"/>
        <v>0.81</v>
      </c>
      <c r="H2874" s="289">
        <f t="shared" si="300"/>
        <v>0.95</v>
      </c>
      <c r="I2874" s="289">
        <f t="shared" si="301"/>
        <v>0.95</v>
      </c>
      <c r="J2874" s="265"/>
    </row>
    <row r="2875" spans="1:10">
      <c r="A2875" s="285" t="s">
        <v>1176</v>
      </c>
      <c r="B2875" s="289">
        <f t="shared" si="294"/>
        <v>0</v>
      </c>
      <c r="C2875" s="289">
        <f t="shared" si="295"/>
        <v>0</v>
      </c>
      <c r="D2875" s="289">
        <f t="shared" si="296"/>
        <v>0</v>
      </c>
      <c r="E2875" s="289">
        <f t="shared" si="297"/>
        <v>0.81</v>
      </c>
      <c r="F2875" s="289">
        <f t="shared" si="298"/>
        <v>0</v>
      </c>
      <c r="G2875" s="289">
        <f t="shared" si="299"/>
        <v>0.81</v>
      </c>
      <c r="H2875" s="289">
        <f t="shared" si="300"/>
        <v>0.95</v>
      </c>
      <c r="I2875" s="289">
        <f t="shared" si="301"/>
        <v>0.95</v>
      </c>
      <c r="J2875" s="265"/>
    </row>
    <row r="2876" spans="1:10">
      <c r="A2876" s="285" t="s">
        <v>62</v>
      </c>
      <c r="B2876" s="289">
        <f t="shared" si="294"/>
        <v>0</v>
      </c>
      <c r="C2876" s="289">
        <f t="shared" si="295"/>
        <v>0</v>
      </c>
      <c r="D2876" s="289">
        <f t="shared" si="296"/>
        <v>0</v>
      </c>
      <c r="E2876" s="289">
        <f t="shared" si="297"/>
        <v>0.81</v>
      </c>
      <c r="F2876" s="289">
        <f t="shared" si="298"/>
        <v>0</v>
      </c>
      <c r="G2876" s="289">
        <f t="shared" si="299"/>
        <v>0.81</v>
      </c>
      <c r="H2876" s="289">
        <f t="shared" si="300"/>
        <v>0.95</v>
      </c>
      <c r="I2876" s="289">
        <f t="shared" si="301"/>
        <v>0</v>
      </c>
      <c r="J2876" s="265"/>
    </row>
    <row r="2877" spans="1:10">
      <c r="A2877" s="285" t="s">
        <v>63</v>
      </c>
      <c r="B2877" s="289">
        <f t="shared" si="294"/>
        <v>0</v>
      </c>
      <c r="C2877" s="289">
        <f t="shared" si="295"/>
        <v>0</v>
      </c>
      <c r="D2877" s="289">
        <f t="shared" si="296"/>
        <v>0</v>
      </c>
      <c r="E2877" s="289">
        <f t="shared" si="297"/>
        <v>0.81</v>
      </c>
      <c r="F2877" s="289">
        <f t="shared" si="298"/>
        <v>0</v>
      </c>
      <c r="G2877" s="289">
        <f t="shared" si="299"/>
        <v>0.81</v>
      </c>
      <c r="H2877" s="289">
        <f t="shared" si="300"/>
        <v>0.95</v>
      </c>
      <c r="I2877" s="289">
        <f t="shared" si="301"/>
        <v>0.95</v>
      </c>
      <c r="J2877" s="265"/>
    </row>
    <row r="2878" spans="1:10">
      <c r="A2878" s="285" t="s">
        <v>1516</v>
      </c>
      <c r="B2878" s="289">
        <f t="shared" si="294"/>
        <v>0</v>
      </c>
      <c r="C2878" s="289">
        <f t="shared" si="295"/>
        <v>0</v>
      </c>
      <c r="D2878" s="289">
        <f t="shared" si="296"/>
        <v>0</v>
      </c>
      <c r="E2878" s="289">
        <f t="shared" si="297"/>
        <v>0.81</v>
      </c>
      <c r="F2878" s="289">
        <f t="shared" si="298"/>
        <v>0</v>
      </c>
      <c r="G2878" s="289">
        <f t="shared" si="299"/>
        <v>0.81</v>
      </c>
      <c r="H2878" s="289">
        <f t="shared" si="300"/>
        <v>0.95</v>
      </c>
      <c r="I2878" s="289">
        <f t="shared" si="301"/>
        <v>0.95</v>
      </c>
      <c r="J2878" s="265"/>
    </row>
    <row r="2879" spans="1:10">
      <c r="A2879" s="285" t="s">
        <v>64</v>
      </c>
      <c r="B2879" s="289">
        <f t="shared" si="294"/>
        <v>0</v>
      </c>
      <c r="C2879" s="289">
        <f t="shared" si="295"/>
        <v>0</v>
      </c>
      <c r="D2879" s="289">
        <f t="shared" si="296"/>
        <v>0</v>
      </c>
      <c r="E2879" s="289">
        <f t="shared" si="297"/>
        <v>0.81</v>
      </c>
      <c r="F2879" s="289">
        <f t="shared" si="298"/>
        <v>0</v>
      </c>
      <c r="G2879" s="289">
        <f t="shared" si="299"/>
        <v>0.81</v>
      </c>
      <c r="H2879" s="289">
        <f t="shared" si="300"/>
        <v>0.95</v>
      </c>
      <c r="I2879" s="289">
        <f t="shared" si="301"/>
        <v>0.95</v>
      </c>
      <c r="J2879" s="265"/>
    </row>
    <row r="2880" spans="1:10">
      <c r="A2880" s="285" t="s">
        <v>1517</v>
      </c>
      <c r="B2880" s="289">
        <f t="shared" si="294"/>
        <v>0</v>
      </c>
      <c r="C2880" s="289">
        <f t="shared" si="295"/>
        <v>0</v>
      </c>
      <c r="D2880" s="289">
        <f t="shared" si="296"/>
        <v>0</v>
      </c>
      <c r="E2880" s="289">
        <f t="shared" si="297"/>
        <v>0.81</v>
      </c>
      <c r="F2880" s="289">
        <f t="shared" si="298"/>
        <v>0</v>
      </c>
      <c r="G2880" s="289">
        <f t="shared" si="299"/>
        <v>0.81</v>
      </c>
      <c r="H2880" s="289">
        <f t="shared" si="300"/>
        <v>0.95</v>
      </c>
      <c r="I2880" s="289">
        <f t="shared" si="301"/>
        <v>0.95</v>
      </c>
      <c r="J2880" s="265"/>
    </row>
    <row r="2881" spans="1:10">
      <c r="A2881" s="285" t="s">
        <v>65</v>
      </c>
      <c r="B2881" s="289">
        <f t="shared" si="294"/>
        <v>0</v>
      </c>
      <c r="C2881" s="289">
        <f t="shared" si="295"/>
        <v>0</v>
      </c>
      <c r="D2881" s="289">
        <f t="shared" si="296"/>
        <v>0</v>
      </c>
      <c r="E2881" s="289">
        <f t="shared" si="297"/>
        <v>0.81</v>
      </c>
      <c r="F2881" s="289">
        <f t="shared" si="298"/>
        <v>0</v>
      </c>
      <c r="G2881" s="289">
        <f t="shared" si="299"/>
        <v>0.81</v>
      </c>
      <c r="H2881" s="289">
        <f t="shared" si="300"/>
        <v>0.95</v>
      </c>
      <c r="I2881" s="289">
        <f t="shared" si="301"/>
        <v>0</v>
      </c>
      <c r="J2881" s="265"/>
    </row>
    <row r="2882" spans="1:10">
      <c r="A2882" s="285" t="s">
        <v>1518</v>
      </c>
      <c r="B2882" s="289">
        <f t="shared" si="294"/>
        <v>0</v>
      </c>
      <c r="C2882" s="289">
        <f t="shared" si="295"/>
        <v>0</v>
      </c>
      <c r="D2882" s="289">
        <f t="shared" si="296"/>
        <v>0</v>
      </c>
      <c r="E2882" s="289">
        <f t="shared" si="297"/>
        <v>0.81</v>
      </c>
      <c r="F2882" s="289">
        <f t="shared" si="298"/>
        <v>0</v>
      </c>
      <c r="G2882" s="289">
        <f t="shared" si="299"/>
        <v>0.81</v>
      </c>
      <c r="H2882" s="289">
        <f t="shared" si="300"/>
        <v>0.95</v>
      </c>
      <c r="I2882" s="289">
        <f t="shared" si="301"/>
        <v>0</v>
      </c>
      <c r="J2882" s="265"/>
    </row>
    <row r="2883" spans="1:10">
      <c r="A2883" s="285" t="s">
        <v>66</v>
      </c>
      <c r="B2883" s="289">
        <f t="shared" si="294"/>
        <v>0</v>
      </c>
      <c r="C2883" s="289">
        <f t="shared" si="295"/>
        <v>0</v>
      </c>
      <c r="D2883" s="289">
        <f t="shared" si="296"/>
        <v>0</v>
      </c>
      <c r="E2883" s="289">
        <f t="shared" si="297"/>
        <v>0.81</v>
      </c>
      <c r="F2883" s="289">
        <f t="shared" si="298"/>
        <v>0</v>
      </c>
      <c r="G2883" s="289">
        <f t="shared" si="299"/>
        <v>0.81</v>
      </c>
      <c r="H2883" s="289">
        <f t="shared" si="300"/>
        <v>0.95</v>
      </c>
      <c r="I2883" s="289">
        <f t="shared" si="301"/>
        <v>0</v>
      </c>
      <c r="J2883" s="265"/>
    </row>
    <row r="2884" spans="1:10">
      <c r="A2884" s="285" t="s">
        <v>1519</v>
      </c>
      <c r="B2884" s="289">
        <f t="shared" si="294"/>
        <v>0</v>
      </c>
      <c r="C2884" s="289">
        <f t="shared" si="295"/>
        <v>0</v>
      </c>
      <c r="D2884" s="289">
        <f t="shared" si="296"/>
        <v>0</v>
      </c>
      <c r="E2884" s="289">
        <f t="shared" si="297"/>
        <v>0.81</v>
      </c>
      <c r="F2884" s="289">
        <f t="shared" si="298"/>
        <v>0</v>
      </c>
      <c r="G2884" s="289">
        <f t="shared" si="299"/>
        <v>0.81</v>
      </c>
      <c r="H2884" s="289">
        <f t="shared" si="300"/>
        <v>0.95</v>
      </c>
      <c r="I2884" s="289">
        <f t="shared" si="301"/>
        <v>0</v>
      </c>
      <c r="J2884" s="265"/>
    </row>
    <row r="2885" spans="1:10">
      <c r="A2885" s="285" t="s">
        <v>74</v>
      </c>
      <c r="B2885" s="289">
        <f t="shared" si="294"/>
        <v>0</v>
      </c>
      <c r="C2885" s="289">
        <f t="shared" si="295"/>
        <v>0.67</v>
      </c>
      <c r="D2885" s="289">
        <f t="shared" si="296"/>
        <v>0.67</v>
      </c>
      <c r="E2885" s="289">
        <f t="shared" si="297"/>
        <v>1</v>
      </c>
      <c r="F2885" s="289">
        <f t="shared" si="298"/>
        <v>0</v>
      </c>
      <c r="G2885" s="289">
        <f t="shared" si="299"/>
        <v>1</v>
      </c>
      <c r="H2885" s="289">
        <f t="shared" si="300"/>
        <v>0</v>
      </c>
      <c r="I2885" s="289">
        <f t="shared" si="301"/>
        <v>0</v>
      </c>
      <c r="J2885" s="265"/>
    </row>
    <row r="2886" spans="1:10">
      <c r="A2886" s="285" t="s">
        <v>1520</v>
      </c>
      <c r="B2886" s="289">
        <f t="shared" si="294"/>
        <v>0</v>
      </c>
      <c r="C2886" s="289">
        <f t="shared" si="295"/>
        <v>0.67</v>
      </c>
      <c r="D2886" s="289">
        <f t="shared" si="296"/>
        <v>0.67</v>
      </c>
      <c r="E2886" s="289">
        <f t="shared" si="297"/>
        <v>1</v>
      </c>
      <c r="F2886" s="289">
        <f t="shared" si="298"/>
        <v>0</v>
      </c>
      <c r="G2886" s="289">
        <f t="shared" si="299"/>
        <v>1</v>
      </c>
      <c r="H2886" s="289">
        <f t="shared" si="300"/>
        <v>0</v>
      </c>
      <c r="I2886" s="289">
        <f t="shared" si="301"/>
        <v>0</v>
      </c>
      <c r="J2886" s="265"/>
    </row>
    <row r="2887" spans="1:10">
      <c r="A2887" s="285" t="s">
        <v>75</v>
      </c>
      <c r="B2887" s="289">
        <f t="shared" si="294"/>
        <v>0</v>
      </c>
      <c r="C2887" s="289">
        <f t="shared" si="295"/>
        <v>0.67</v>
      </c>
      <c r="D2887" s="289">
        <f t="shared" si="296"/>
        <v>0.67</v>
      </c>
      <c r="E2887" s="289">
        <f t="shared" si="297"/>
        <v>1</v>
      </c>
      <c r="F2887" s="289">
        <f t="shared" si="298"/>
        <v>0</v>
      </c>
      <c r="G2887" s="289">
        <f t="shared" si="299"/>
        <v>1</v>
      </c>
      <c r="H2887" s="289">
        <f t="shared" si="300"/>
        <v>0</v>
      </c>
      <c r="I2887" s="289">
        <f t="shared" si="301"/>
        <v>0</v>
      </c>
      <c r="J2887" s="265"/>
    </row>
    <row r="2888" spans="1:10">
      <c r="A2888" s="285" t="s">
        <v>1521</v>
      </c>
      <c r="B2888" s="289">
        <f t="shared" si="294"/>
        <v>0</v>
      </c>
      <c r="C2888" s="289">
        <f t="shared" si="295"/>
        <v>0.67</v>
      </c>
      <c r="D2888" s="289">
        <f t="shared" si="296"/>
        <v>0.67</v>
      </c>
      <c r="E2888" s="289">
        <f t="shared" si="297"/>
        <v>1</v>
      </c>
      <c r="F2888" s="289">
        <f t="shared" si="298"/>
        <v>0</v>
      </c>
      <c r="G2888" s="289">
        <f t="shared" si="299"/>
        <v>1</v>
      </c>
      <c r="H2888" s="289">
        <f t="shared" si="300"/>
        <v>0</v>
      </c>
      <c r="I2888" s="289">
        <f t="shared" si="301"/>
        <v>0</v>
      </c>
      <c r="J2888" s="265"/>
    </row>
    <row r="2890" spans="1:10" ht="21" customHeight="1">
      <c r="A2890" s="1" t="s">
        <v>651</v>
      </c>
    </row>
    <row r="2891" spans="1:10">
      <c r="A2891" s="264" t="s">
        <v>217</v>
      </c>
    </row>
    <row r="2892" spans="1:10">
      <c r="A2892" s="264" t="s">
        <v>652</v>
      </c>
    </row>
    <row r="2893" spans="1:10">
      <c r="A2893" s="264" t="s">
        <v>653</v>
      </c>
    </row>
    <row r="2894" spans="1:10">
      <c r="A2894" s="269" t="s">
        <v>1579</v>
      </c>
    </row>
    <row r="2895" spans="1:10">
      <c r="A2895" s="264" t="s">
        <v>257</v>
      </c>
    </row>
    <row r="2897" spans="1:20" ht="30">
      <c r="B2897" s="284" t="s">
        <v>22</v>
      </c>
      <c r="C2897" s="284" t="s">
        <v>182</v>
      </c>
      <c r="D2897" s="284" t="s">
        <v>183</v>
      </c>
      <c r="E2897" s="284" t="s">
        <v>184</v>
      </c>
      <c r="F2897" s="284" t="s">
        <v>185</v>
      </c>
      <c r="G2897" s="284" t="s">
        <v>186</v>
      </c>
      <c r="H2897" s="284" t="s">
        <v>187</v>
      </c>
      <c r="I2897" s="284" t="s">
        <v>188</v>
      </c>
      <c r="J2897" s="284" t="s">
        <v>189</v>
      </c>
      <c r="K2897" s="284" t="s">
        <v>170</v>
      </c>
      <c r="L2897" s="284" t="s">
        <v>567</v>
      </c>
      <c r="M2897" s="284" t="s">
        <v>568</v>
      </c>
      <c r="N2897" s="284" t="s">
        <v>569</v>
      </c>
      <c r="O2897" s="284" t="s">
        <v>570</v>
      </c>
      <c r="P2897" s="284" t="s">
        <v>571</v>
      </c>
      <c r="Q2897" s="284" t="s">
        <v>572</v>
      </c>
      <c r="R2897" s="284" t="s">
        <v>573</v>
      </c>
      <c r="S2897" s="284" t="s">
        <v>574</v>
      </c>
    </row>
    <row r="2898" spans="1:20">
      <c r="A2898" s="285" t="s">
        <v>54</v>
      </c>
      <c r="B2898" s="297">
        <v>0</v>
      </c>
      <c r="C2898" s="298">
        <f t="shared" ref="C2898:C2930" si="302">$B2856</f>
        <v>0</v>
      </c>
      <c r="D2898" s="298">
        <f t="shared" ref="D2898:D2930" si="303">$C2856</f>
        <v>0</v>
      </c>
      <c r="E2898" s="298">
        <f t="shared" ref="E2898:E2930" si="304">$D2856</f>
        <v>0</v>
      </c>
      <c r="F2898" s="298">
        <f t="shared" ref="F2898:F2930" si="305">$E2856</f>
        <v>0.81</v>
      </c>
      <c r="G2898" s="298">
        <f t="shared" ref="G2898:G2930" si="306">$F2856</f>
        <v>0</v>
      </c>
      <c r="H2898" s="298">
        <f t="shared" ref="H2898:H2930" si="307">$G2856</f>
        <v>0.81</v>
      </c>
      <c r="I2898" s="298">
        <f t="shared" ref="I2898:I2930" si="308">$H2856</f>
        <v>0.95</v>
      </c>
      <c r="J2898" s="298">
        <f t="shared" ref="J2898:J2930" si="309">$I2856</f>
        <v>0.95</v>
      </c>
      <c r="K2898" s="297">
        <v>0</v>
      </c>
      <c r="L2898" s="297">
        <v>0</v>
      </c>
      <c r="M2898" s="297">
        <v>0</v>
      </c>
      <c r="N2898" s="297">
        <v>0</v>
      </c>
      <c r="O2898" s="297">
        <v>0</v>
      </c>
      <c r="P2898" s="297">
        <v>0</v>
      </c>
      <c r="Q2898" s="297">
        <v>0</v>
      </c>
      <c r="R2898" s="297">
        <v>0</v>
      </c>
      <c r="S2898" s="297">
        <v>0</v>
      </c>
      <c r="T2898" s="265"/>
    </row>
    <row r="2899" spans="1:20">
      <c r="A2899" s="285" t="s">
        <v>55</v>
      </c>
      <c r="B2899" s="297">
        <v>0</v>
      </c>
      <c r="C2899" s="298">
        <f t="shared" si="302"/>
        <v>0</v>
      </c>
      <c r="D2899" s="298">
        <f t="shared" si="303"/>
        <v>0</v>
      </c>
      <c r="E2899" s="298">
        <f t="shared" si="304"/>
        <v>0</v>
      </c>
      <c r="F2899" s="298">
        <f t="shared" si="305"/>
        <v>0.81</v>
      </c>
      <c r="G2899" s="298">
        <f t="shared" si="306"/>
        <v>0</v>
      </c>
      <c r="H2899" s="298">
        <f t="shared" si="307"/>
        <v>0.81</v>
      </c>
      <c r="I2899" s="298">
        <f t="shared" si="308"/>
        <v>0.95</v>
      </c>
      <c r="J2899" s="298">
        <f t="shared" si="309"/>
        <v>0.95</v>
      </c>
      <c r="K2899" s="297">
        <v>0</v>
      </c>
      <c r="L2899" s="297">
        <v>0</v>
      </c>
      <c r="M2899" s="297">
        <v>0</v>
      </c>
      <c r="N2899" s="297">
        <v>0</v>
      </c>
      <c r="O2899" s="297">
        <v>0</v>
      </c>
      <c r="P2899" s="297">
        <v>0</v>
      </c>
      <c r="Q2899" s="297">
        <v>0</v>
      </c>
      <c r="R2899" s="297">
        <v>0</v>
      </c>
      <c r="S2899" s="297">
        <v>0</v>
      </c>
      <c r="T2899" s="265"/>
    </row>
    <row r="2900" spans="1:20">
      <c r="A2900" s="285" t="s">
        <v>91</v>
      </c>
      <c r="B2900" s="297">
        <v>0</v>
      </c>
      <c r="C2900" s="298">
        <f t="shared" si="302"/>
        <v>0</v>
      </c>
      <c r="D2900" s="298">
        <f t="shared" si="303"/>
        <v>0</v>
      </c>
      <c r="E2900" s="298">
        <f t="shared" si="304"/>
        <v>0</v>
      </c>
      <c r="F2900" s="298">
        <f t="shared" si="305"/>
        <v>0.81</v>
      </c>
      <c r="G2900" s="298">
        <f t="shared" si="306"/>
        <v>0</v>
      </c>
      <c r="H2900" s="298">
        <f t="shared" si="307"/>
        <v>0.81</v>
      </c>
      <c r="I2900" s="298">
        <f t="shared" si="308"/>
        <v>0.95</v>
      </c>
      <c r="J2900" s="298">
        <f t="shared" si="309"/>
        <v>0.95</v>
      </c>
      <c r="K2900" s="297">
        <v>0</v>
      </c>
      <c r="L2900" s="297">
        <v>0</v>
      </c>
      <c r="M2900" s="297">
        <v>0</v>
      </c>
      <c r="N2900" s="297">
        <v>0</v>
      </c>
      <c r="O2900" s="297">
        <v>0</v>
      </c>
      <c r="P2900" s="297">
        <v>0</v>
      </c>
      <c r="Q2900" s="297">
        <v>0</v>
      </c>
      <c r="R2900" s="297">
        <v>0</v>
      </c>
      <c r="S2900" s="297">
        <v>0</v>
      </c>
      <c r="T2900" s="265"/>
    </row>
    <row r="2901" spans="1:20">
      <c r="A2901" s="285" t="s">
        <v>56</v>
      </c>
      <c r="B2901" s="297">
        <v>0</v>
      </c>
      <c r="C2901" s="298">
        <f t="shared" si="302"/>
        <v>0</v>
      </c>
      <c r="D2901" s="298">
        <f t="shared" si="303"/>
        <v>0</v>
      </c>
      <c r="E2901" s="298">
        <f t="shared" si="304"/>
        <v>0</v>
      </c>
      <c r="F2901" s="298">
        <f t="shared" si="305"/>
        <v>0.81</v>
      </c>
      <c r="G2901" s="298">
        <f t="shared" si="306"/>
        <v>0</v>
      </c>
      <c r="H2901" s="298">
        <f t="shared" si="307"/>
        <v>0.81</v>
      </c>
      <c r="I2901" s="298">
        <f t="shared" si="308"/>
        <v>0.95</v>
      </c>
      <c r="J2901" s="298">
        <f t="shared" si="309"/>
        <v>0.95</v>
      </c>
      <c r="K2901" s="297">
        <v>0</v>
      </c>
      <c r="L2901" s="297">
        <v>0</v>
      </c>
      <c r="M2901" s="297">
        <v>0</v>
      </c>
      <c r="N2901" s="297">
        <v>0</v>
      </c>
      <c r="O2901" s="297">
        <v>0</v>
      </c>
      <c r="P2901" s="297">
        <v>0</v>
      </c>
      <c r="Q2901" s="297">
        <v>0</v>
      </c>
      <c r="R2901" s="297">
        <v>0</v>
      </c>
      <c r="S2901" s="297">
        <v>0</v>
      </c>
      <c r="T2901" s="265"/>
    </row>
    <row r="2902" spans="1:20">
      <c r="A2902" s="285" t="s">
        <v>57</v>
      </c>
      <c r="B2902" s="297">
        <v>0</v>
      </c>
      <c r="C2902" s="298">
        <f t="shared" si="302"/>
        <v>0</v>
      </c>
      <c r="D2902" s="298">
        <f t="shared" si="303"/>
        <v>0</v>
      </c>
      <c r="E2902" s="298">
        <f t="shared" si="304"/>
        <v>0</v>
      </c>
      <c r="F2902" s="298">
        <f t="shared" si="305"/>
        <v>0.81</v>
      </c>
      <c r="G2902" s="298">
        <f t="shared" si="306"/>
        <v>0</v>
      </c>
      <c r="H2902" s="298">
        <f t="shared" si="307"/>
        <v>0.81</v>
      </c>
      <c r="I2902" s="298">
        <f t="shared" si="308"/>
        <v>0.95</v>
      </c>
      <c r="J2902" s="298">
        <f t="shared" si="309"/>
        <v>0.95</v>
      </c>
      <c r="K2902" s="297">
        <v>0</v>
      </c>
      <c r="L2902" s="297">
        <v>0</v>
      </c>
      <c r="M2902" s="297">
        <v>0</v>
      </c>
      <c r="N2902" s="297">
        <v>0</v>
      </c>
      <c r="O2902" s="297">
        <v>0</v>
      </c>
      <c r="P2902" s="297">
        <v>0</v>
      </c>
      <c r="Q2902" s="297">
        <v>0</v>
      </c>
      <c r="R2902" s="297">
        <v>0</v>
      </c>
      <c r="S2902" s="297">
        <v>0</v>
      </c>
      <c r="T2902" s="265"/>
    </row>
    <row r="2903" spans="1:20">
      <c r="A2903" s="285" t="s">
        <v>92</v>
      </c>
      <c r="B2903" s="297">
        <v>0</v>
      </c>
      <c r="C2903" s="298">
        <f t="shared" si="302"/>
        <v>0</v>
      </c>
      <c r="D2903" s="298">
        <f t="shared" si="303"/>
        <v>0</v>
      </c>
      <c r="E2903" s="298">
        <f t="shared" si="304"/>
        <v>0</v>
      </c>
      <c r="F2903" s="298">
        <f t="shared" si="305"/>
        <v>0.81</v>
      </c>
      <c r="G2903" s="298">
        <f t="shared" si="306"/>
        <v>0</v>
      </c>
      <c r="H2903" s="298">
        <f t="shared" si="307"/>
        <v>0.81</v>
      </c>
      <c r="I2903" s="298">
        <f t="shared" si="308"/>
        <v>0.95</v>
      </c>
      <c r="J2903" s="298">
        <f t="shared" si="309"/>
        <v>0.95</v>
      </c>
      <c r="K2903" s="297">
        <v>0</v>
      </c>
      <c r="L2903" s="297">
        <v>0</v>
      </c>
      <c r="M2903" s="297">
        <v>0</v>
      </c>
      <c r="N2903" s="297">
        <v>0</v>
      </c>
      <c r="O2903" s="297">
        <v>0</v>
      </c>
      <c r="P2903" s="297">
        <v>0</v>
      </c>
      <c r="Q2903" s="297">
        <v>0</v>
      </c>
      <c r="R2903" s="297">
        <v>0</v>
      </c>
      <c r="S2903" s="297">
        <v>0</v>
      </c>
      <c r="T2903" s="265"/>
    </row>
    <row r="2904" spans="1:20">
      <c r="A2904" s="285" t="s">
        <v>58</v>
      </c>
      <c r="B2904" s="297">
        <v>0</v>
      </c>
      <c r="C2904" s="298">
        <f t="shared" si="302"/>
        <v>0</v>
      </c>
      <c r="D2904" s="298">
        <f t="shared" si="303"/>
        <v>0</v>
      </c>
      <c r="E2904" s="298">
        <f t="shared" si="304"/>
        <v>0</v>
      </c>
      <c r="F2904" s="298">
        <f t="shared" si="305"/>
        <v>0.81</v>
      </c>
      <c r="G2904" s="298">
        <f t="shared" si="306"/>
        <v>0</v>
      </c>
      <c r="H2904" s="298">
        <f t="shared" si="307"/>
        <v>0.81</v>
      </c>
      <c r="I2904" s="298">
        <f t="shared" si="308"/>
        <v>0.95</v>
      </c>
      <c r="J2904" s="298">
        <f t="shared" si="309"/>
        <v>0.95</v>
      </c>
      <c r="K2904" s="297">
        <v>0</v>
      </c>
      <c r="L2904" s="297">
        <v>0</v>
      </c>
      <c r="M2904" s="297">
        <v>0</v>
      </c>
      <c r="N2904" s="297">
        <v>0</v>
      </c>
      <c r="O2904" s="297">
        <v>0</v>
      </c>
      <c r="P2904" s="297">
        <v>0</v>
      </c>
      <c r="Q2904" s="297">
        <v>0</v>
      </c>
      <c r="R2904" s="297">
        <v>0</v>
      </c>
      <c r="S2904" s="297">
        <v>0</v>
      </c>
      <c r="T2904" s="265"/>
    </row>
    <row r="2905" spans="1:20">
      <c r="A2905" s="285" t="s">
        <v>59</v>
      </c>
      <c r="B2905" s="297">
        <v>0</v>
      </c>
      <c r="C2905" s="298">
        <f t="shared" si="302"/>
        <v>0</v>
      </c>
      <c r="D2905" s="298">
        <f t="shared" si="303"/>
        <v>0</v>
      </c>
      <c r="E2905" s="298">
        <f t="shared" si="304"/>
        <v>0</v>
      </c>
      <c r="F2905" s="298">
        <f t="shared" si="305"/>
        <v>0.81</v>
      </c>
      <c r="G2905" s="298">
        <f t="shared" si="306"/>
        <v>0</v>
      </c>
      <c r="H2905" s="298">
        <f t="shared" si="307"/>
        <v>0.81</v>
      </c>
      <c r="I2905" s="298">
        <f t="shared" si="308"/>
        <v>0.95</v>
      </c>
      <c r="J2905" s="298">
        <f t="shared" si="309"/>
        <v>0</v>
      </c>
      <c r="K2905" s="297">
        <v>0</v>
      </c>
      <c r="L2905" s="297">
        <v>0</v>
      </c>
      <c r="M2905" s="297">
        <v>0</v>
      </c>
      <c r="N2905" s="297">
        <v>0</v>
      </c>
      <c r="O2905" s="297">
        <v>0</v>
      </c>
      <c r="P2905" s="297">
        <v>0</v>
      </c>
      <c r="Q2905" s="297">
        <v>0</v>
      </c>
      <c r="R2905" s="297">
        <v>0</v>
      </c>
      <c r="S2905" s="297">
        <v>0</v>
      </c>
      <c r="T2905" s="265"/>
    </row>
    <row r="2906" spans="1:20">
      <c r="A2906" s="285" t="s">
        <v>72</v>
      </c>
      <c r="B2906" s="297">
        <v>0</v>
      </c>
      <c r="C2906" s="298">
        <f t="shared" si="302"/>
        <v>0</v>
      </c>
      <c r="D2906" s="298">
        <f t="shared" si="303"/>
        <v>0.67</v>
      </c>
      <c r="E2906" s="298">
        <f t="shared" si="304"/>
        <v>0.67</v>
      </c>
      <c r="F2906" s="298">
        <f t="shared" si="305"/>
        <v>1</v>
      </c>
      <c r="G2906" s="298">
        <f t="shared" si="306"/>
        <v>0</v>
      </c>
      <c r="H2906" s="298">
        <f t="shared" si="307"/>
        <v>1</v>
      </c>
      <c r="I2906" s="298">
        <f t="shared" si="308"/>
        <v>0</v>
      </c>
      <c r="J2906" s="298">
        <f t="shared" si="309"/>
        <v>0</v>
      </c>
      <c r="K2906" s="297">
        <v>0</v>
      </c>
      <c r="L2906" s="297">
        <v>0</v>
      </c>
      <c r="M2906" s="297">
        <v>0</v>
      </c>
      <c r="N2906" s="297">
        <v>0</v>
      </c>
      <c r="O2906" s="297">
        <v>0</v>
      </c>
      <c r="P2906" s="297">
        <v>0</v>
      </c>
      <c r="Q2906" s="297">
        <v>0</v>
      </c>
      <c r="R2906" s="297">
        <v>0</v>
      </c>
      <c r="S2906" s="297">
        <v>0</v>
      </c>
      <c r="T2906" s="265"/>
    </row>
    <row r="2907" spans="1:20">
      <c r="A2907" s="285" t="s">
        <v>1178</v>
      </c>
      <c r="B2907" s="297">
        <v>0</v>
      </c>
      <c r="C2907" s="298">
        <f t="shared" si="302"/>
        <v>0</v>
      </c>
      <c r="D2907" s="298">
        <f t="shared" si="303"/>
        <v>0</v>
      </c>
      <c r="E2907" s="298">
        <f t="shared" si="304"/>
        <v>0</v>
      </c>
      <c r="F2907" s="298">
        <f t="shared" si="305"/>
        <v>0.81</v>
      </c>
      <c r="G2907" s="298">
        <f t="shared" si="306"/>
        <v>0</v>
      </c>
      <c r="H2907" s="298">
        <f t="shared" si="307"/>
        <v>0.81</v>
      </c>
      <c r="I2907" s="298">
        <f t="shared" si="308"/>
        <v>0.95</v>
      </c>
      <c r="J2907" s="298">
        <f t="shared" si="309"/>
        <v>0.95</v>
      </c>
      <c r="K2907" s="297">
        <v>0</v>
      </c>
      <c r="L2907" s="297">
        <v>0</v>
      </c>
      <c r="M2907" s="297">
        <v>0</v>
      </c>
      <c r="N2907" s="297">
        <v>0</v>
      </c>
      <c r="O2907" s="297">
        <v>0</v>
      </c>
      <c r="P2907" s="297">
        <v>0</v>
      </c>
      <c r="Q2907" s="297">
        <v>0</v>
      </c>
      <c r="R2907" s="297">
        <v>0</v>
      </c>
      <c r="S2907" s="297">
        <v>0</v>
      </c>
      <c r="T2907" s="265"/>
    </row>
    <row r="2908" spans="1:20">
      <c r="A2908" s="285" t="s">
        <v>1177</v>
      </c>
      <c r="B2908" s="297">
        <v>0</v>
      </c>
      <c r="C2908" s="298">
        <f t="shared" si="302"/>
        <v>0</v>
      </c>
      <c r="D2908" s="298">
        <f t="shared" si="303"/>
        <v>0</v>
      </c>
      <c r="E2908" s="298">
        <f t="shared" si="304"/>
        <v>0</v>
      </c>
      <c r="F2908" s="298">
        <f t="shared" si="305"/>
        <v>0.81</v>
      </c>
      <c r="G2908" s="298">
        <f t="shared" si="306"/>
        <v>0</v>
      </c>
      <c r="H2908" s="298">
        <f t="shared" si="307"/>
        <v>0.81</v>
      </c>
      <c r="I2908" s="298">
        <f t="shared" si="308"/>
        <v>0.95</v>
      </c>
      <c r="J2908" s="298">
        <f t="shared" si="309"/>
        <v>0.95</v>
      </c>
      <c r="K2908" s="297">
        <v>0</v>
      </c>
      <c r="L2908" s="297">
        <v>0</v>
      </c>
      <c r="M2908" s="297">
        <v>0</v>
      </c>
      <c r="N2908" s="297">
        <v>0</v>
      </c>
      <c r="O2908" s="297">
        <v>0</v>
      </c>
      <c r="P2908" s="297">
        <v>0</v>
      </c>
      <c r="Q2908" s="297">
        <v>0</v>
      </c>
      <c r="R2908" s="297">
        <v>0</v>
      </c>
      <c r="S2908" s="297">
        <v>0</v>
      </c>
      <c r="T2908" s="265"/>
    </row>
    <row r="2909" spans="1:20">
      <c r="A2909" s="285" t="s">
        <v>60</v>
      </c>
      <c r="B2909" s="297">
        <v>0</v>
      </c>
      <c r="C2909" s="298">
        <f t="shared" si="302"/>
        <v>0</v>
      </c>
      <c r="D2909" s="298">
        <f t="shared" si="303"/>
        <v>0</v>
      </c>
      <c r="E2909" s="298">
        <f t="shared" si="304"/>
        <v>0</v>
      </c>
      <c r="F2909" s="298">
        <f t="shared" si="305"/>
        <v>0.81</v>
      </c>
      <c r="G2909" s="298">
        <f t="shared" si="306"/>
        <v>0</v>
      </c>
      <c r="H2909" s="298">
        <f t="shared" si="307"/>
        <v>0.81</v>
      </c>
      <c r="I2909" s="298">
        <f t="shared" si="308"/>
        <v>0.95</v>
      </c>
      <c r="J2909" s="298">
        <f t="shared" si="309"/>
        <v>0.95</v>
      </c>
      <c r="K2909" s="297">
        <v>0</v>
      </c>
      <c r="L2909" s="297">
        <v>0</v>
      </c>
      <c r="M2909" s="297">
        <v>0</v>
      </c>
      <c r="N2909" s="297">
        <v>0</v>
      </c>
      <c r="O2909" s="297">
        <v>0</v>
      </c>
      <c r="P2909" s="297">
        <v>0</v>
      </c>
      <c r="Q2909" s="297">
        <v>0</v>
      </c>
      <c r="R2909" s="297">
        <v>0</v>
      </c>
      <c r="S2909" s="297">
        <v>0</v>
      </c>
      <c r="T2909" s="265"/>
    </row>
    <row r="2910" spans="1:20">
      <c r="A2910" s="285" t="s">
        <v>61</v>
      </c>
      <c r="B2910" s="297">
        <v>0</v>
      </c>
      <c r="C2910" s="298">
        <f t="shared" si="302"/>
        <v>0</v>
      </c>
      <c r="D2910" s="298">
        <f t="shared" si="303"/>
        <v>0</v>
      </c>
      <c r="E2910" s="298">
        <f t="shared" si="304"/>
        <v>0</v>
      </c>
      <c r="F2910" s="298">
        <f t="shared" si="305"/>
        <v>0.81</v>
      </c>
      <c r="G2910" s="298">
        <f t="shared" si="306"/>
        <v>0</v>
      </c>
      <c r="H2910" s="298">
        <f t="shared" si="307"/>
        <v>0.81</v>
      </c>
      <c r="I2910" s="298">
        <f t="shared" si="308"/>
        <v>0.95</v>
      </c>
      <c r="J2910" s="298">
        <f t="shared" si="309"/>
        <v>0</v>
      </c>
      <c r="K2910" s="297">
        <v>0</v>
      </c>
      <c r="L2910" s="297">
        <v>0</v>
      </c>
      <c r="M2910" s="297">
        <v>0</v>
      </c>
      <c r="N2910" s="297">
        <v>0</v>
      </c>
      <c r="O2910" s="297">
        <v>0</v>
      </c>
      <c r="P2910" s="297">
        <v>0</v>
      </c>
      <c r="Q2910" s="297">
        <v>0</v>
      </c>
      <c r="R2910" s="297">
        <v>0</v>
      </c>
      <c r="S2910" s="297">
        <v>0</v>
      </c>
      <c r="T2910" s="265"/>
    </row>
    <row r="2911" spans="1:20">
      <c r="A2911" s="285" t="s">
        <v>73</v>
      </c>
      <c r="B2911" s="297">
        <v>0</v>
      </c>
      <c r="C2911" s="298">
        <f t="shared" si="302"/>
        <v>0</v>
      </c>
      <c r="D2911" s="298">
        <f t="shared" si="303"/>
        <v>0.67</v>
      </c>
      <c r="E2911" s="298">
        <f t="shared" si="304"/>
        <v>0.67</v>
      </c>
      <c r="F2911" s="298">
        <f t="shared" si="305"/>
        <v>1</v>
      </c>
      <c r="G2911" s="298">
        <f t="shared" si="306"/>
        <v>0</v>
      </c>
      <c r="H2911" s="298">
        <f t="shared" si="307"/>
        <v>1</v>
      </c>
      <c r="I2911" s="298">
        <f t="shared" si="308"/>
        <v>0</v>
      </c>
      <c r="J2911" s="298">
        <f t="shared" si="309"/>
        <v>0</v>
      </c>
      <c r="K2911" s="297">
        <v>0</v>
      </c>
      <c r="L2911" s="297">
        <v>0</v>
      </c>
      <c r="M2911" s="297">
        <v>0</v>
      </c>
      <c r="N2911" s="297">
        <v>0</v>
      </c>
      <c r="O2911" s="297">
        <v>0</v>
      </c>
      <c r="P2911" s="297">
        <v>0</v>
      </c>
      <c r="Q2911" s="297">
        <v>0</v>
      </c>
      <c r="R2911" s="297">
        <v>0</v>
      </c>
      <c r="S2911" s="297">
        <v>0</v>
      </c>
      <c r="T2911" s="265"/>
    </row>
    <row r="2912" spans="1:20">
      <c r="A2912" s="285" t="s">
        <v>93</v>
      </c>
      <c r="B2912" s="297">
        <v>0</v>
      </c>
      <c r="C2912" s="298">
        <f t="shared" si="302"/>
        <v>0</v>
      </c>
      <c r="D2912" s="298">
        <f t="shared" si="303"/>
        <v>0</v>
      </c>
      <c r="E2912" s="298">
        <f t="shared" si="304"/>
        <v>0</v>
      </c>
      <c r="F2912" s="298">
        <f t="shared" si="305"/>
        <v>0.81</v>
      </c>
      <c r="G2912" s="298">
        <f t="shared" si="306"/>
        <v>0</v>
      </c>
      <c r="H2912" s="298">
        <f t="shared" si="307"/>
        <v>0.81</v>
      </c>
      <c r="I2912" s="298">
        <f t="shared" si="308"/>
        <v>0.95</v>
      </c>
      <c r="J2912" s="298">
        <f t="shared" si="309"/>
        <v>0.95</v>
      </c>
      <c r="K2912" s="297">
        <v>0</v>
      </c>
      <c r="L2912" s="297">
        <v>0</v>
      </c>
      <c r="M2912" s="297">
        <v>0</v>
      </c>
      <c r="N2912" s="297">
        <v>0</v>
      </c>
      <c r="O2912" s="297">
        <v>0</v>
      </c>
      <c r="P2912" s="297">
        <v>0</v>
      </c>
      <c r="Q2912" s="297">
        <v>0</v>
      </c>
      <c r="R2912" s="297">
        <v>0</v>
      </c>
      <c r="S2912" s="297">
        <v>0</v>
      </c>
      <c r="T2912" s="265"/>
    </row>
    <row r="2913" spans="1:20">
      <c r="A2913" s="285" t="s">
        <v>94</v>
      </c>
      <c r="B2913" s="297">
        <v>0</v>
      </c>
      <c r="C2913" s="298">
        <f t="shared" si="302"/>
        <v>0</v>
      </c>
      <c r="D2913" s="298">
        <f t="shared" si="303"/>
        <v>0</v>
      </c>
      <c r="E2913" s="298">
        <f t="shared" si="304"/>
        <v>0</v>
      </c>
      <c r="F2913" s="298">
        <f t="shared" si="305"/>
        <v>0.81</v>
      </c>
      <c r="G2913" s="298">
        <f t="shared" si="306"/>
        <v>0</v>
      </c>
      <c r="H2913" s="298">
        <f t="shared" si="307"/>
        <v>0.81</v>
      </c>
      <c r="I2913" s="298">
        <f t="shared" si="308"/>
        <v>0.95</v>
      </c>
      <c r="J2913" s="298">
        <f t="shared" si="309"/>
        <v>0.95</v>
      </c>
      <c r="K2913" s="297">
        <v>0</v>
      </c>
      <c r="L2913" s="297">
        <v>0</v>
      </c>
      <c r="M2913" s="297">
        <v>0</v>
      </c>
      <c r="N2913" s="297">
        <v>0</v>
      </c>
      <c r="O2913" s="297">
        <v>0</v>
      </c>
      <c r="P2913" s="297">
        <v>0</v>
      </c>
      <c r="Q2913" s="297">
        <v>0</v>
      </c>
      <c r="R2913" s="297">
        <v>0</v>
      </c>
      <c r="S2913" s="297">
        <v>0</v>
      </c>
      <c r="T2913" s="265"/>
    </row>
    <row r="2914" spans="1:20">
      <c r="A2914" s="285" t="s">
        <v>95</v>
      </c>
      <c r="B2914" s="297">
        <v>0</v>
      </c>
      <c r="C2914" s="298">
        <f t="shared" si="302"/>
        <v>0</v>
      </c>
      <c r="D2914" s="298">
        <f t="shared" si="303"/>
        <v>0</v>
      </c>
      <c r="E2914" s="298">
        <f t="shared" si="304"/>
        <v>0</v>
      </c>
      <c r="F2914" s="298">
        <f t="shared" si="305"/>
        <v>0.81</v>
      </c>
      <c r="G2914" s="298">
        <f t="shared" si="306"/>
        <v>0</v>
      </c>
      <c r="H2914" s="298">
        <f t="shared" si="307"/>
        <v>0.81</v>
      </c>
      <c r="I2914" s="298">
        <f t="shared" si="308"/>
        <v>0.95</v>
      </c>
      <c r="J2914" s="298">
        <f t="shared" si="309"/>
        <v>0.95</v>
      </c>
      <c r="K2914" s="297">
        <v>0</v>
      </c>
      <c r="L2914" s="297">
        <v>0</v>
      </c>
      <c r="M2914" s="297">
        <v>0</v>
      </c>
      <c r="N2914" s="297">
        <v>0</v>
      </c>
      <c r="O2914" s="297">
        <v>0</v>
      </c>
      <c r="P2914" s="297">
        <v>0</v>
      </c>
      <c r="Q2914" s="297">
        <v>0</v>
      </c>
      <c r="R2914" s="297">
        <v>0</v>
      </c>
      <c r="S2914" s="297">
        <v>0</v>
      </c>
      <c r="T2914" s="265"/>
    </row>
    <row r="2915" spans="1:20">
      <c r="A2915" s="285" t="s">
        <v>96</v>
      </c>
      <c r="B2915" s="297">
        <v>0</v>
      </c>
      <c r="C2915" s="298">
        <f t="shared" si="302"/>
        <v>0</v>
      </c>
      <c r="D2915" s="298">
        <f t="shared" si="303"/>
        <v>0</v>
      </c>
      <c r="E2915" s="298">
        <f t="shared" si="304"/>
        <v>0</v>
      </c>
      <c r="F2915" s="298">
        <f t="shared" si="305"/>
        <v>0.81</v>
      </c>
      <c r="G2915" s="298">
        <f t="shared" si="306"/>
        <v>0</v>
      </c>
      <c r="H2915" s="298">
        <f t="shared" si="307"/>
        <v>0.81</v>
      </c>
      <c r="I2915" s="298">
        <f t="shared" si="308"/>
        <v>0.95</v>
      </c>
      <c r="J2915" s="298">
        <f t="shared" si="309"/>
        <v>0.95</v>
      </c>
      <c r="K2915" s="297">
        <v>0</v>
      </c>
      <c r="L2915" s="297">
        <v>0</v>
      </c>
      <c r="M2915" s="297">
        <v>0</v>
      </c>
      <c r="N2915" s="297">
        <v>0</v>
      </c>
      <c r="O2915" s="297">
        <v>0</v>
      </c>
      <c r="P2915" s="297">
        <v>0</v>
      </c>
      <c r="Q2915" s="297">
        <v>0</v>
      </c>
      <c r="R2915" s="297">
        <v>0</v>
      </c>
      <c r="S2915" s="297">
        <v>0</v>
      </c>
      <c r="T2915" s="265"/>
    </row>
    <row r="2916" spans="1:20">
      <c r="A2916" s="285" t="s">
        <v>97</v>
      </c>
      <c r="B2916" s="297">
        <v>0</v>
      </c>
      <c r="C2916" s="298">
        <f t="shared" si="302"/>
        <v>0</v>
      </c>
      <c r="D2916" s="298">
        <f t="shared" si="303"/>
        <v>0</v>
      </c>
      <c r="E2916" s="298">
        <f t="shared" si="304"/>
        <v>0</v>
      </c>
      <c r="F2916" s="298">
        <f t="shared" si="305"/>
        <v>0.81</v>
      </c>
      <c r="G2916" s="298">
        <f t="shared" si="306"/>
        <v>0</v>
      </c>
      <c r="H2916" s="298">
        <f t="shared" si="307"/>
        <v>0.81</v>
      </c>
      <c r="I2916" s="298">
        <f t="shared" si="308"/>
        <v>0.95</v>
      </c>
      <c r="J2916" s="298">
        <f t="shared" si="309"/>
        <v>0.95</v>
      </c>
      <c r="K2916" s="297">
        <v>0</v>
      </c>
      <c r="L2916" s="297">
        <v>0</v>
      </c>
      <c r="M2916" s="297">
        <v>0</v>
      </c>
      <c r="N2916" s="297">
        <v>0</v>
      </c>
      <c r="O2916" s="297">
        <v>0</v>
      </c>
      <c r="P2916" s="297">
        <v>0</v>
      </c>
      <c r="Q2916" s="297">
        <v>0</v>
      </c>
      <c r="R2916" s="297">
        <v>0</v>
      </c>
      <c r="S2916" s="297">
        <v>0</v>
      </c>
      <c r="T2916" s="265"/>
    </row>
    <row r="2917" spans="1:20">
      <c r="A2917" s="285" t="s">
        <v>1176</v>
      </c>
      <c r="B2917" s="297">
        <v>0</v>
      </c>
      <c r="C2917" s="298">
        <f t="shared" si="302"/>
        <v>0</v>
      </c>
      <c r="D2917" s="298">
        <f t="shared" si="303"/>
        <v>0</v>
      </c>
      <c r="E2917" s="298">
        <f t="shared" si="304"/>
        <v>0</v>
      </c>
      <c r="F2917" s="298">
        <f t="shared" si="305"/>
        <v>0.81</v>
      </c>
      <c r="G2917" s="298">
        <f t="shared" si="306"/>
        <v>0</v>
      </c>
      <c r="H2917" s="298">
        <f t="shared" si="307"/>
        <v>0.81</v>
      </c>
      <c r="I2917" s="298">
        <f t="shared" si="308"/>
        <v>0.95</v>
      </c>
      <c r="J2917" s="298">
        <f t="shared" si="309"/>
        <v>0.95</v>
      </c>
      <c r="K2917" s="297">
        <v>0</v>
      </c>
      <c r="L2917" s="297">
        <v>0</v>
      </c>
      <c r="M2917" s="297">
        <v>0</v>
      </c>
      <c r="N2917" s="297">
        <v>0</v>
      </c>
      <c r="O2917" s="297">
        <v>0</v>
      </c>
      <c r="P2917" s="297">
        <v>0</v>
      </c>
      <c r="Q2917" s="297">
        <v>0</v>
      </c>
      <c r="R2917" s="297">
        <v>0</v>
      </c>
      <c r="S2917" s="297">
        <v>0</v>
      </c>
      <c r="T2917" s="265"/>
    </row>
    <row r="2918" spans="1:20">
      <c r="A2918" s="285" t="s">
        <v>62</v>
      </c>
      <c r="B2918" s="297">
        <v>0</v>
      </c>
      <c r="C2918" s="298">
        <f t="shared" si="302"/>
        <v>0</v>
      </c>
      <c r="D2918" s="298">
        <f t="shared" si="303"/>
        <v>0</v>
      </c>
      <c r="E2918" s="298">
        <f t="shared" si="304"/>
        <v>0</v>
      </c>
      <c r="F2918" s="298">
        <f t="shared" si="305"/>
        <v>0.81</v>
      </c>
      <c r="G2918" s="298">
        <f t="shared" si="306"/>
        <v>0</v>
      </c>
      <c r="H2918" s="298">
        <f t="shared" si="307"/>
        <v>0.81</v>
      </c>
      <c r="I2918" s="298">
        <f t="shared" si="308"/>
        <v>0.95</v>
      </c>
      <c r="J2918" s="298">
        <f t="shared" si="309"/>
        <v>0</v>
      </c>
      <c r="K2918" s="297">
        <v>0</v>
      </c>
      <c r="L2918" s="297">
        <v>0</v>
      </c>
      <c r="M2918" s="297">
        <v>0</v>
      </c>
      <c r="N2918" s="297">
        <v>0</v>
      </c>
      <c r="O2918" s="297">
        <v>0</v>
      </c>
      <c r="P2918" s="297">
        <v>0</v>
      </c>
      <c r="Q2918" s="297">
        <v>0</v>
      </c>
      <c r="R2918" s="297">
        <v>0</v>
      </c>
      <c r="S2918" s="297">
        <v>0</v>
      </c>
      <c r="T2918" s="265"/>
    </row>
    <row r="2919" spans="1:20">
      <c r="A2919" s="285" t="s">
        <v>63</v>
      </c>
      <c r="B2919" s="297">
        <v>0</v>
      </c>
      <c r="C2919" s="298">
        <f t="shared" si="302"/>
        <v>0</v>
      </c>
      <c r="D2919" s="298">
        <f t="shared" si="303"/>
        <v>0</v>
      </c>
      <c r="E2919" s="298">
        <f t="shared" si="304"/>
        <v>0</v>
      </c>
      <c r="F2919" s="298">
        <f t="shared" si="305"/>
        <v>0.81</v>
      </c>
      <c r="G2919" s="298">
        <f t="shared" si="306"/>
        <v>0</v>
      </c>
      <c r="H2919" s="298">
        <f t="shared" si="307"/>
        <v>0.81</v>
      </c>
      <c r="I2919" s="298">
        <f t="shared" si="308"/>
        <v>0.95</v>
      </c>
      <c r="J2919" s="298">
        <f t="shared" si="309"/>
        <v>0.95</v>
      </c>
      <c r="K2919" s="297">
        <v>0</v>
      </c>
      <c r="L2919" s="297">
        <v>0</v>
      </c>
      <c r="M2919" s="297">
        <v>0</v>
      </c>
      <c r="N2919" s="297">
        <v>0</v>
      </c>
      <c r="O2919" s="297">
        <v>0</v>
      </c>
      <c r="P2919" s="297">
        <v>0</v>
      </c>
      <c r="Q2919" s="297">
        <v>0</v>
      </c>
      <c r="R2919" s="297">
        <v>0</v>
      </c>
      <c r="S2919" s="297">
        <v>0</v>
      </c>
      <c r="T2919" s="265"/>
    </row>
    <row r="2920" spans="1:20">
      <c r="A2920" s="285" t="s">
        <v>1516</v>
      </c>
      <c r="B2920" s="297">
        <v>0</v>
      </c>
      <c r="C2920" s="298">
        <f t="shared" si="302"/>
        <v>0</v>
      </c>
      <c r="D2920" s="298">
        <f t="shared" si="303"/>
        <v>0</v>
      </c>
      <c r="E2920" s="298">
        <f t="shared" si="304"/>
        <v>0</v>
      </c>
      <c r="F2920" s="298">
        <f t="shared" si="305"/>
        <v>0.81</v>
      </c>
      <c r="G2920" s="298">
        <f t="shared" si="306"/>
        <v>0</v>
      </c>
      <c r="H2920" s="298">
        <f t="shared" si="307"/>
        <v>0.81</v>
      </c>
      <c r="I2920" s="298">
        <f t="shared" si="308"/>
        <v>0.95</v>
      </c>
      <c r="J2920" s="298">
        <f t="shared" si="309"/>
        <v>0.95</v>
      </c>
      <c r="K2920" s="297">
        <v>0</v>
      </c>
      <c r="L2920" s="297">
        <v>0</v>
      </c>
      <c r="M2920" s="297">
        <v>0</v>
      </c>
      <c r="N2920" s="297">
        <v>0</v>
      </c>
      <c r="O2920" s="297">
        <v>0</v>
      </c>
      <c r="P2920" s="297">
        <v>0</v>
      </c>
      <c r="Q2920" s="297">
        <v>0</v>
      </c>
      <c r="R2920" s="297">
        <v>0</v>
      </c>
      <c r="S2920" s="297">
        <v>0</v>
      </c>
      <c r="T2920" s="265"/>
    </row>
    <row r="2921" spans="1:20">
      <c r="A2921" s="285" t="s">
        <v>64</v>
      </c>
      <c r="B2921" s="297">
        <v>0</v>
      </c>
      <c r="C2921" s="298">
        <f t="shared" si="302"/>
        <v>0</v>
      </c>
      <c r="D2921" s="298">
        <f t="shared" si="303"/>
        <v>0</v>
      </c>
      <c r="E2921" s="298">
        <f t="shared" si="304"/>
        <v>0</v>
      </c>
      <c r="F2921" s="298">
        <f t="shared" si="305"/>
        <v>0.81</v>
      </c>
      <c r="G2921" s="298">
        <f t="shared" si="306"/>
        <v>0</v>
      </c>
      <c r="H2921" s="298">
        <f t="shared" si="307"/>
        <v>0.81</v>
      </c>
      <c r="I2921" s="298">
        <f t="shared" si="308"/>
        <v>0.95</v>
      </c>
      <c r="J2921" s="298">
        <f t="shared" si="309"/>
        <v>0.95</v>
      </c>
      <c r="K2921" s="297">
        <v>0</v>
      </c>
      <c r="L2921" s="297">
        <v>0</v>
      </c>
      <c r="M2921" s="297">
        <v>0</v>
      </c>
      <c r="N2921" s="297">
        <v>0</v>
      </c>
      <c r="O2921" s="297">
        <v>0</v>
      </c>
      <c r="P2921" s="297">
        <v>0</v>
      </c>
      <c r="Q2921" s="297">
        <v>0</v>
      </c>
      <c r="R2921" s="297">
        <v>0</v>
      </c>
      <c r="S2921" s="297">
        <v>0</v>
      </c>
      <c r="T2921" s="265"/>
    </row>
    <row r="2922" spans="1:20">
      <c r="A2922" s="285" t="s">
        <v>1517</v>
      </c>
      <c r="B2922" s="297">
        <v>0</v>
      </c>
      <c r="C2922" s="298">
        <f t="shared" si="302"/>
        <v>0</v>
      </c>
      <c r="D2922" s="298">
        <f t="shared" si="303"/>
        <v>0</v>
      </c>
      <c r="E2922" s="298">
        <f t="shared" si="304"/>
        <v>0</v>
      </c>
      <c r="F2922" s="298">
        <f t="shared" si="305"/>
        <v>0.81</v>
      </c>
      <c r="G2922" s="298">
        <f t="shared" si="306"/>
        <v>0</v>
      </c>
      <c r="H2922" s="298">
        <f t="shared" si="307"/>
        <v>0.81</v>
      </c>
      <c r="I2922" s="298">
        <f t="shared" si="308"/>
        <v>0.95</v>
      </c>
      <c r="J2922" s="298">
        <f t="shared" si="309"/>
        <v>0.95</v>
      </c>
      <c r="K2922" s="297">
        <v>0</v>
      </c>
      <c r="L2922" s="297">
        <v>0</v>
      </c>
      <c r="M2922" s="297">
        <v>0</v>
      </c>
      <c r="N2922" s="297">
        <v>0</v>
      </c>
      <c r="O2922" s="297">
        <v>0</v>
      </c>
      <c r="P2922" s="297">
        <v>0</v>
      </c>
      <c r="Q2922" s="297">
        <v>0</v>
      </c>
      <c r="R2922" s="297">
        <v>0</v>
      </c>
      <c r="S2922" s="297">
        <v>0</v>
      </c>
      <c r="T2922" s="265"/>
    </row>
    <row r="2923" spans="1:20">
      <c r="A2923" s="285" t="s">
        <v>65</v>
      </c>
      <c r="B2923" s="297">
        <v>0</v>
      </c>
      <c r="C2923" s="298">
        <f t="shared" si="302"/>
        <v>0</v>
      </c>
      <c r="D2923" s="298">
        <f t="shared" si="303"/>
        <v>0</v>
      </c>
      <c r="E2923" s="298">
        <f t="shared" si="304"/>
        <v>0</v>
      </c>
      <c r="F2923" s="298">
        <f t="shared" si="305"/>
        <v>0.81</v>
      </c>
      <c r="G2923" s="298">
        <f t="shared" si="306"/>
        <v>0</v>
      </c>
      <c r="H2923" s="298">
        <f t="shared" si="307"/>
        <v>0.81</v>
      </c>
      <c r="I2923" s="298">
        <f t="shared" si="308"/>
        <v>0.95</v>
      </c>
      <c r="J2923" s="298">
        <f t="shared" si="309"/>
        <v>0</v>
      </c>
      <c r="K2923" s="297">
        <v>0</v>
      </c>
      <c r="L2923" s="297">
        <v>0</v>
      </c>
      <c r="M2923" s="297">
        <v>0</v>
      </c>
      <c r="N2923" s="297">
        <v>0</v>
      </c>
      <c r="O2923" s="297">
        <v>0</v>
      </c>
      <c r="P2923" s="297">
        <v>0</v>
      </c>
      <c r="Q2923" s="297">
        <v>0</v>
      </c>
      <c r="R2923" s="297">
        <v>0</v>
      </c>
      <c r="S2923" s="297">
        <v>0</v>
      </c>
      <c r="T2923" s="265"/>
    </row>
    <row r="2924" spans="1:20">
      <c r="A2924" s="285" t="s">
        <v>1518</v>
      </c>
      <c r="B2924" s="297">
        <v>0</v>
      </c>
      <c r="C2924" s="298">
        <f t="shared" si="302"/>
        <v>0</v>
      </c>
      <c r="D2924" s="298">
        <f t="shared" si="303"/>
        <v>0</v>
      </c>
      <c r="E2924" s="298">
        <f t="shared" si="304"/>
        <v>0</v>
      </c>
      <c r="F2924" s="298">
        <f t="shared" si="305"/>
        <v>0.81</v>
      </c>
      <c r="G2924" s="298">
        <f t="shared" si="306"/>
        <v>0</v>
      </c>
      <c r="H2924" s="298">
        <f t="shared" si="307"/>
        <v>0.81</v>
      </c>
      <c r="I2924" s="298">
        <f t="shared" si="308"/>
        <v>0.95</v>
      </c>
      <c r="J2924" s="298">
        <f t="shared" si="309"/>
        <v>0</v>
      </c>
      <c r="K2924" s="297">
        <v>0</v>
      </c>
      <c r="L2924" s="297">
        <v>0</v>
      </c>
      <c r="M2924" s="297">
        <v>0</v>
      </c>
      <c r="N2924" s="297">
        <v>0</v>
      </c>
      <c r="O2924" s="297">
        <v>0</v>
      </c>
      <c r="P2924" s="297">
        <v>0</v>
      </c>
      <c r="Q2924" s="297">
        <v>0</v>
      </c>
      <c r="R2924" s="297">
        <v>0</v>
      </c>
      <c r="S2924" s="297">
        <v>0</v>
      </c>
      <c r="T2924" s="265"/>
    </row>
    <row r="2925" spans="1:20">
      <c r="A2925" s="285" t="s">
        <v>66</v>
      </c>
      <c r="B2925" s="297">
        <v>0</v>
      </c>
      <c r="C2925" s="298">
        <f t="shared" si="302"/>
        <v>0</v>
      </c>
      <c r="D2925" s="298">
        <f t="shared" si="303"/>
        <v>0</v>
      </c>
      <c r="E2925" s="298">
        <f t="shared" si="304"/>
        <v>0</v>
      </c>
      <c r="F2925" s="298">
        <f t="shared" si="305"/>
        <v>0.81</v>
      </c>
      <c r="G2925" s="298">
        <f t="shared" si="306"/>
        <v>0</v>
      </c>
      <c r="H2925" s="298">
        <f t="shared" si="307"/>
        <v>0.81</v>
      </c>
      <c r="I2925" s="298">
        <f t="shared" si="308"/>
        <v>0.95</v>
      </c>
      <c r="J2925" s="298">
        <f t="shared" si="309"/>
        <v>0</v>
      </c>
      <c r="K2925" s="297">
        <v>0</v>
      </c>
      <c r="L2925" s="297">
        <v>0</v>
      </c>
      <c r="M2925" s="297">
        <v>0</v>
      </c>
      <c r="N2925" s="297">
        <v>0</v>
      </c>
      <c r="O2925" s="297">
        <v>0</v>
      </c>
      <c r="P2925" s="297">
        <v>0</v>
      </c>
      <c r="Q2925" s="297">
        <v>0</v>
      </c>
      <c r="R2925" s="297">
        <v>0</v>
      </c>
      <c r="S2925" s="297">
        <v>0</v>
      </c>
      <c r="T2925" s="265"/>
    </row>
    <row r="2926" spans="1:20">
      <c r="A2926" s="285" t="s">
        <v>1519</v>
      </c>
      <c r="B2926" s="297">
        <v>0</v>
      </c>
      <c r="C2926" s="298">
        <f t="shared" si="302"/>
        <v>0</v>
      </c>
      <c r="D2926" s="298">
        <f t="shared" si="303"/>
        <v>0</v>
      </c>
      <c r="E2926" s="298">
        <f t="shared" si="304"/>
        <v>0</v>
      </c>
      <c r="F2926" s="298">
        <f t="shared" si="305"/>
        <v>0.81</v>
      </c>
      <c r="G2926" s="298">
        <f t="shared" si="306"/>
        <v>0</v>
      </c>
      <c r="H2926" s="298">
        <f t="shared" si="307"/>
        <v>0.81</v>
      </c>
      <c r="I2926" s="298">
        <f t="shared" si="308"/>
        <v>0.95</v>
      </c>
      <c r="J2926" s="298">
        <f t="shared" si="309"/>
        <v>0</v>
      </c>
      <c r="K2926" s="297">
        <v>0</v>
      </c>
      <c r="L2926" s="297">
        <v>0</v>
      </c>
      <c r="M2926" s="297">
        <v>0</v>
      </c>
      <c r="N2926" s="297">
        <v>0</v>
      </c>
      <c r="O2926" s="297">
        <v>0</v>
      </c>
      <c r="P2926" s="297">
        <v>0</v>
      </c>
      <c r="Q2926" s="297">
        <v>0</v>
      </c>
      <c r="R2926" s="297">
        <v>0</v>
      </c>
      <c r="S2926" s="297">
        <v>0</v>
      </c>
      <c r="T2926" s="265"/>
    </row>
    <row r="2927" spans="1:20">
      <c r="A2927" s="285" t="s">
        <v>74</v>
      </c>
      <c r="B2927" s="297">
        <v>0</v>
      </c>
      <c r="C2927" s="298">
        <f t="shared" si="302"/>
        <v>0</v>
      </c>
      <c r="D2927" s="298">
        <f t="shared" si="303"/>
        <v>0.67</v>
      </c>
      <c r="E2927" s="298">
        <f t="shared" si="304"/>
        <v>0.67</v>
      </c>
      <c r="F2927" s="298">
        <f t="shared" si="305"/>
        <v>1</v>
      </c>
      <c r="G2927" s="298">
        <f t="shared" si="306"/>
        <v>0</v>
      </c>
      <c r="H2927" s="298">
        <f t="shared" si="307"/>
        <v>1</v>
      </c>
      <c r="I2927" s="298">
        <f t="shared" si="308"/>
        <v>0</v>
      </c>
      <c r="J2927" s="298">
        <f t="shared" si="309"/>
        <v>0</v>
      </c>
      <c r="K2927" s="297">
        <v>0</v>
      </c>
      <c r="L2927" s="297">
        <v>0</v>
      </c>
      <c r="M2927" s="297">
        <v>0</v>
      </c>
      <c r="N2927" s="297">
        <v>0</v>
      </c>
      <c r="O2927" s="297">
        <v>0</v>
      </c>
      <c r="P2927" s="297">
        <v>0</v>
      </c>
      <c r="Q2927" s="297">
        <v>0</v>
      </c>
      <c r="R2927" s="297">
        <v>0</v>
      </c>
      <c r="S2927" s="297">
        <v>0</v>
      </c>
      <c r="T2927" s="265"/>
    </row>
    <row r="2928" spans="1:20">
      <c r="A2928" s="285" t="s">
        <v>1520</v>
      </c>
      <c r="B2928" s="297">
        <v>0</v>
      </c>
      <c r="C2928" s="298">
        <f t="shared" si="302"/>
        <v>0</v>
      </c>
      <c r="D2928" s="298">
        <f t="shared" si="303"/>
        <v>0.67</v>
      </c>
      <c r="E2928" s="298">
        <f t="shared" si="304"/>
        <v>0.67</v>
      </c>
      <c r="F2928" s="298">
        <f t="shared" si="305"/>
        <v>1</v>
      </c>
      <c r="G2928" s="298">
        <f t="shared" si="306"/>
        <v>0</v>
      </c>
      <c r="H2928" s="298">
        <f t="shared" si="307"/>
        <v>1</v>
      </c>
      <c r="I2928" s="298">
        <f t="shared" si="308"/>
        <v>0</v>
      </c>
      <c r="J2928" s="298">
        <f t="shared" si="309"/>
        <v>0</v>
      </c>
      <c r="K2928" s="297">
        <v>0</v>
      </c>
      <c r="L2928" s="297">
        <v>0</v>
      </c>
      <c r="M2928" s="297">
        <v>0</v>
      </c>
      <c r="N2928" s="297">
        <v>0</v>
      </c>
      <c r="O2928" s="297">
        <v>0</v>
      </c>
      <c r="P2928" s="297">
        <v>0</v>
      </c>
      <c r="Q2928" s="297">
        <v>0</v>
      </c>
      <c r="R2928" s="297">
        <v>0</v>
      </c>
      <c r="S2928" s="297">
        <v>0</v>
      </c>
      <c r="T2928" s="265"/>
    </row>
    <row r="2929" spans="1:20">
      <c r="A2929" s="285" t="s">
        <v>75</v>
      </c>
      <c r="B2929" s="297">
        <v>0</v>
      </c>
      <c r="C2929" s="298">
        <f t="shared" si="302"/>
        <v>0</v>
      </c>
      <c r="D2929" s="298">
        <f t="shared" si="303"/>
        <v>0.67</v>
      </c>
      <c r="E2929" s="298">
        <f t="shared" si="304"/>
        <v>0.67</v>
      </c>
      <c r="F2929" s="298">
        <f t="shared" si="305"/>
        <v>1</v>
      </c>
      <c r="G2929" s="298">
        <f t="shared" si="306"/>
        <v>0</v>
      </c>
      <c r="H2929" s="298">
        <f t="shared" si="307"/>
        <v>1</v>
      </c>
      <c r="I2929" s="298">
        <f t="shared" si="308"/>
        <v>0</v>
      </c>
      <c r="J2929" s="298">
        <f t="shared" si="309"/>
        <v>0</v>
      </c>
      <c r="K2929" s="297">
        <v>0</v>
      </c>
      <c r="L2929" s="297">
        <v>0</v>
      </c>
      <c r="M2929" s="297">
        <v>0</v>
      </c>
      <c r="N2929" s="297">
        <v>0</v>
      </c>
      <c r="O2929" s="297">
        <v>0</v>
      </c>
      <c r="P2929" s="297">
        <v>0</v>
      </c>
      <c r="Q2929" s="297">
        <v>0</v>
      </c>
      <c r="R2929" s="297">
        <v>0</v>
      </c>
      <c r="S2929" s="297">
        <v>0</v>
      </c>
      <c r="T2929" s="265"/>
    </row>
    <row r="2930" spans="1:20">
      <c r="A2930" s="285" t="s">
        <v>1521</v>
      </c>
      <c r="B2930" s="297">
        <v>0</v>
      </c>
      <c r="C2930" s="298">
        <f t="shared" si="302"/>
        <v>0</v>
      </c>
      <c r="D2930" s="298">
        <f t="shared" si="303"/>
        <v>0.67</v>
      </c>
      <c r="E2930" s="298">
        <f t="shared" si="304"/>
        <v>0.67</v>
      </c>
      <c r="F2930" s="298">
        <f t="shared" si="305"/>
        <v>1</v>
      </c>
      <c r="G2930" s="298">
        <f t="shared" si="306"/>
        <v>0</v>
      </c>
      <c r="H2930" s="298">
        <f t="shared" si="307"/>
        <v>1</v>
      </c>
      <c r="I2930" s="298">
        <f t="shared" si="308"/>
        <v>0</v>
      </c>
      <c r="J2930" s="298">
        <f t="shared" si="309"/>
        <v>0</v>
      </c>
      <c r="K2930" s="297">
        <v>0</v>
      </c>
      <c r="L2930" s="297">
        <v>0</v>
      </c>
      <c r="M2930" s="297">
        <v>0</v>
      </c>
      <c r="N2930" s="297">
        <v>0</v>
      </c>
      <c r="O2930" s="297">
        <v>0</v>
      </c>
      <c r="P2930" s="297">
        <v>0</v>
      </c>
      <c r="Q2930" s="297">
        <v>0</v>
      </c>
      <c r="R2930" s="297">
        <v>0</v>
      </c>
      <c r="S2930" s="297">
        <v>0</v>
      </c>
      <c r="T2930" s="265"/>
    </row>
    <row r="2932" spans="1:20" ht="21" customHeight="1">
      <c r="A2932" s="1" t="str">
        <f>"Yardsticks for "&amp;CDCM!B7&amp;" in "&amp;CDCM!C7&amp;" ("&amp;CDCM!D7&amp;")"</f>
        <v>Yardsticks for 0 in 0 (0)</v>
      </c>
    </row>
    <row r="2933" spans="1:20">
      <c r="A2933" s="264" t="s">
        <v>654</v>
      </c>
    </row>
    <row r="2935" spans="1:20" ht="21" customHeight="1">
      <c r="A2935" s="1" t="s">
        <v>655</v>
      </c>
    </row>
    <row r="2936" spans="1:20">
      <c r="A2936" s="264" t="s">
        <v>217</v>
      </c>
    </row>
    <row r="2937" spans="1:20">
      <c r="A2937" s="269" t="s">
        <v>656</v>
      </c>
    </row>
    <row r="2938" spans="1:20">
      <c r="A2938" s="269" t="s">
        <v>657</v>
      </c>
    </row>
    <row r="2939" spans="1:20">
      <c r="A2939" s="264" t="s">
        <v>235</v>
      </c>
    </row>
    <row r="2941" spans="1:20" ht="30">
      <c r="B2941" s="284" t="s">
        <v>22</v>
      </c>
      <c r="C2941" s="284" t="s">
        <v>182</v>
      </c>
      <c r="D2941" s="284" t="s">
        <v>183</v>
      </c>
      <c r="E2941" s="284" t="s">
        <v>184</v>
      </c>
      <c r="F2941" s="284" t="s">
        <v>185</v>
      </c>
      <c r="G2941" s="284" t="s">
        <v>186</v>
      </c>
      <c r="H2941" s="284" t="s">
        <v>187</v>
      </c>
      <c r="I2941" s="284" t="s">
        <v>188</v>
      </c>
      <c r="J2941" s="284" t="s">
        <v>189</v>
      </c>
      <c r="K2941" s="284" t="s">
        <v>170</v>
      </c>
      <c r="L2941" s="284" t="s">
        <v>567</v>
      </c>
      <c r="M2941" s="284" t="s">
        <v>568</v>
      </c>
      <c r="N2941" s="284" t="s">
        <v>569</v>
      </c>
      <c r="O2941" s="284" t="s">
        <v>570</v>
      </c>
      <c r="P2941" s="284" t="s">
        <v>571</v>
      </c>
      <c r="Q2941" s="284" t="s">
        <v>572</v>
      </c>
      <c r="R2941" s="284" t="s">
        <v>573</v>
      </c>
      <c r="S2941" s="284" t="s">
        <v>574</v>
      </c>
    </row>
    <row r="2942" spans="1:20" ht="30">
      <c r="A2942" s="285" t="s">
        <v>658</v>
      </c>
      <c r="B2942" s="291"/>
      <c r="C2942" s="274">
        <f>$B$775</f>
        <v>14.242777493615238</v>
      </c>
      <c r="D2942" s="274">
        <f>$B$776</f>
        <v>2.0253895503696087</v>
      </c>
      <c r="E2942" s="274">
        <f>$B$777</f>
        <v>5.1435853573769137</v>
      </c>
      <c r="F2942" s="274">
        <f>$B$778</f>
        <v>5.2155150975173257</v>
      </c>
      <c r="G2942" s="274">
        <f>$B$779</f>
        <v>0</v>
      </c>
      <c r="H2942" s="274">
        <f>$B$780</f>
        <v>18.883846636422408</v>
      </c>
      <c r="I2942" s="274">
        <f>$B$781</f>
        <v>8.1324946073658531</v>
      </c>
      <c r="J2942" s="274">
        <f>$B$782</f>
        <v>17.682908527399821</v>
      </c>
      <c r="K2942" s="274">
        <f>$B2733</f>
        <v>4.3234788786619474</v>
      </c>
      <c r="L2942" s="274">
        <f>$C2733</f>
        <v>9.3797472364141043</v>
      </c>
      <c r="M2942" s="274">
        <f>$D2733</f>
        <v>1.3338439111512914</v>
      </c>
      <c r="N2942" s="274">
        <f>$E2733</f>
        <v>3.3873681283544372</v>
      </c>
      <c r="O2942" s="274">
        <f>$F2733</f>
        <v>3.4347382976630896</v>
      </c>
      <c r="P2942" s="274">
        <f>$G2733</f>
        <v>0</v>
      </c>
      <c r="Q2942" s="274">
        <f>$H2733</f>
        <v>12.436177450658967</v>
      </c>
      <c r="R2942" s="274">
        <f>$I2733</f>
        <v>5.3557491755233588</v>
      </c>
      <c r="S2942" s="274">
        <f>$J2733</f>
        <v>11.645285652043237</v>
      </c>
      <c r="T2942" s="265"/>
    </row>
    <row r="2944" spans="1:20" ht="21" customHeight="1">
      <c r="A2944" s="1" t="s">
        <v>659</v>
      </c>
    </row>
    <row r="2945" spans="1:20">
      <c r="A2945" s="264" t="s">
        <v>217</v>
      </c>
    </row>
    <row r="2946" spans="1:20">
      <c r="A2946" s="269" t="s">
        <v>660</v>
      </c>
    </row>
    <row r="2947" spans="1:20">
      <c r="A2947" s="269" t="s">
        <v>502</v>
      </c>
    </row>
    <row r="2948" spans="1:20">
      <c r="A2948" s="269" t="s">
        <v>491</v>
      </c>
    </row>
    <row r="2949" spans="1:20">
      <c r="A2949" s="269" t="s">
        <v>661</v>
      </c>
    </row>
    <row r="2950" spans="1:20">
      <c r="A2950" s="269" t="s">
        <v>480</v>
      </c>
    </row>
    <row r="2951" spans="1:20">
      <c r="A2951" s="264" t="s">
        <v>662</v>
      </c>
    </row>
    <row r="2953" spans="1:20" ht="30">
      <c r="B2953" s="284" t="s">
        <v>22</v>
      </c>
      <c r="C2953" s="284" t="s">
        <v>182</v>
      </c>
      <c r="D2953" s="284" t="s">
        <v>183</v>
      </c>
      <c r="E2953" s="284" t="s">
        <v>184</v>
      </c>
      <c r="F2953" s="284" t="s">
        <v>185</v>
      </c>
      <c r="G2953" s="284" t="s">
        <v>186</v>
      </c>
      <c r="H2953" s="284" t="s">
        <v>187</v>
      </c>
      <c r="I2953" s="284" t="s">
        <v>188</v>
      </c>
      <c r="J2953" s="284" t="s">
        <v>189</v>
      </c>
      <c r="K2953" s="284" t="s">
        <v>170</v>
      </c>
      <c r="L2953" s="284" t="s">
        <v>567</v>
      </c>
      <c r="M2953" s="284" t="s">
        <v>568</v>
      </c>
      <c r="N2953" s="284" t="s">
        <v>569</v>
      </c>
      <c r="O2953" s="284" t="s">
        <v>570</v>
      </c>
      <c r="P2953" s="284" t="s">
        <v>571</v>
      </c>
      <c r="Q2953" s="284" t="s">
        <v>572</v>
      </c>
      <c r="R2953" s="284" t="s">
        <v>573</v>
      </c>
      <c r="S2953" s="284" t="s">
        <v>574</v>
      </c>
    </row>
    <row r="2954" spans="1:20">
      <c r="A2954" s="285" t="s">
        <v>54</v>
      </c>
      <c r="B2954" s="273">
        <f t="shared" ref="B2954:J2969" si="310">B$2942*$B980*B612*(1-B2898)/(24*$F$14)*100</f>
        <v>0</v>
      </c>
      <c r="C2954" s="273">
        <f t="shared" si="310"/>
        <v>0.37772609732303625</v>
      </c>
      <c r="D2954" s="273">
        <f t="shared" si="310"/>
        <v>5.3500840851483322E-2</v>
      </c>
      <c r="E2954" s="273">
        <f t="shared" si="310"/>
        <v>0.13506271086079394</v>
      </c>
      <c r="F2954" s="273">
        <f t="shared" si="310"/>
        <v>2.5791410227193574E-2</v>
      </c>
      <c r="G2954" s="273">
        <f t="shared" si="310"/>
        <v>0</v>
      </c>
      <c r="H2954" s="273">
        <f t="shared" si="310"/>
        <v>9.1853717039880392E-2</v>
      </c>
      <c r="I2954" s="273">
        <f t="shared" si="310"/>
        <v>1.0300737586339049E-2</v>
      </c>
      <c r="J2954" s="273">
        <f t="shared" si="310"/>
        <v>2.2123264485179248E-2</v>
      </c>
      <c r="K2954" s="273">
        <f t="shared" ref="K2954:S2969" si="311">K$2942*$B980*B612*(1-K2898)/(24*$F$14)*100</f>
        <v>0.1148903004372913</v>
      </c>
      <c r="L2954" s="273">
        <f t="shared" si="311"/>
        <v>0.24875592693036744</v>
      </c>
      <c r="M2954" s="273">
        <f t="shared" si="311"/>
        <v>3.5233602739879182E-2</v>
      </c>
      <c r="N2954" s="273">
        <f t="shared" si="311"/>
        <v>8.8947123516254833E-2</v>
      </c>
      <c r="O2954" s="273">
        <f t="shared" si="311"/>
        <v>8.9395968518148225E-2</v>
      </c>
      <c r="P2954" s="273">
        <f t="shared" si="311"/>
        <v>0</v>
      </c>
      <c r="Q2954" s="273">
        <f t="shared" si="311"/>
        <v>0.31837545618634994</v>
      </c>
      <c r="R2954" s="273">
        <f t="shared" si="311"/>
        <v>0.13567341756452017</v>
      </c>
      <c r="S2954" s="273">
        <f t="shared" si="311"/>
        <v>0.29139067714614114</v>
      </c>
      <c r="T2954" s="265"/>
    </row>
    <row r="2955" spans="1:20">
      <c r="A2955" s="285" t="s">
        <v>55</v>
      </c>
      <c r="B2955" s="273">
        <f t="shared" si="310"/>
        <v>0</v>
      </c>
      <c r="C2955" s="273">
        <f t="shared" si="310"/>
        <v>0.22888434868686627</v>
      </c>
      <c r="D2955" s="273">
        <f t="shared" si="310"/>
        <v>3.2419007315819467E-2</v>
      </c>
      <c r="E2955" s="273">
        <f t="shared" si="310"/>
        <v>8.1841685883878787E-2</v>
      </c>
      <c r="F2955" s="273">
        <f t="shared" si="310"/>
        <v>1.5628388330601491E-2</v>
      </c>
      <c r="G2955" s="273">
        <f t="shared" si="310"/>
        <v>0</v>
      </c>
      <c r="H2955" s="273">
        <f t="shared" si="310"/>
        <v>5.5659056517773094E-2</v>
      </c>
      <c r="I2955" s="273">
        <f t="shared" si="310"/>
        <v>6.2417652106976865E-3</v>
      </c>
      <c r="J2955" s="273">
        <f t="shared" si="310"/>
        <v>1.3405663570518445E-2</v>
      </c>
      <c r="K2955" s="273">
        <f t="shared" si="311"/>
        <v>6.9618148633078469E-2</v>
      </c>
      <c r="L2955" s="273">
        <f t="shared" si="311"/>
        <v>0.1507344573778871</v>
      </c>
      <c r="M2955" s="273">
        <f t="shared" si="311"/>
        <v>2.1349915380912205E-2</v>
      </c>
      <c r="N2955" s="273">
        <f t="shared" si="311"/>
        <v>5.389779678415306E-2</v>
      </c>
      <c r="O2955" s="273">
        <f t="shared" si="311"/>
        <v>5.4169775862770636E-2</v>
      </c>
      <c r="P2955" s="273">
        <f t="shared" si="311"/>
        <v>0</v>
      </c>
      <c r="Q2955" s="273">
        <f t="shared" si="311"/>
        <v>0.19292063599401305</v>
      </c>
      <c r="R2955" s="273">
        <f t="shared" si="311"/>
        <v>8.2211745583517515E-2</v>
      </c>
      <c r="S2955" s="273">
        <f t="shared" si="311"/>
        <v>0.17656912197671429</v>
      </c>
      <c r="T2955" s="265"/>
    </row>
    <row r="2956" spans="1:20">
      <c r="A2956" s="285" t="s">
        <v>91</v>
      </c>
      <c r="B2956" s="273">
        <f t="shared" si="310"/>
        <v>0</v>
      </c>
      <c r="C2956" s="273">
        <f t="shared" si="310"/>
        <v>0</v>
      </c>
      <c r="D2956" s="273">
        <f t="shared" si="310"/>
        <v>0</v>
      </c>
      <c r="E2956" s="273">
        <f t="shared" si="310"/>
        <v>0</v>
      </c>
      <c r="F2956" s="273">
        <f t="shared" si="310"/>
        <v>0</v>
      </c>
      <c r="G2956" s="273">
        <f t="shared" si="310"/>
        <v>0</v>
      </c>
      <c r="H2956" s="273">
        <f t="shared" si="310"/>
        <v>0</v>
      </c>
      <c r="I2956" s="273">
        <f t="shared" si="310"/>
        <v>0</v>
      </c>
      <c r="J2956" s="273">
        <f t="shared" si="310"/>
        <v>0</v>
      </c>
      <c r="K2956" s="273">
        <f t="shared" si="311"/>
        <v>0</v>
      </c>
      <c r="L2956" s="273">
        <f t="shared" si="311"/>
        <v>0</v>
      </c>
      <c r="M2956" s="273">
        <f t="shared" si="311"/>
        <v>0</v>
      </c>
      <c r="N2956" s="273">
        <f t="shared" si="311"/>
        <v>0</v>
      </c>
      <c r="O2956" s="273">
        <f t="shared" si="311"/>
        <v>0</v>
      </c>
      <c r="P2956" s="273">
        <f t="shared" si="311"/>
        <v>0</v>
      </c>
      <c r="Q2956" s="273">
        <f t="shared" si="311"/>
        <v>0</v>
      </c>
      <c r="R2956" s="273">
        <f t="shared" si="311"/>
        <v>0</v>
      </c>
      <c r="S2956" s="273">
        <f t="shared" si="311"/>
        <v>0</v>
      </c>
      <c r="T2956" s="265"/>
    </row>
    <row r="2957" spans="1:20">
      <c r="A2957" s="285" t="s">
        <v>56</v>
      </c>
      <c r="B2957" s="273">
        <f t="shared" si="310"/>
        <v>0</v>
      </c>
      <c r="C2957" s="273">
        <f t="shared" si="310"/>
        <v>0.27973056930365625</v>
      </c>
      <c r="D2957" s="273">
        <f t="shared" si="310"/>
        <v>3.9620827831789385E-2</v>
      </c>
      <c r="E2957" s="273">
        <f t="shared" si="310"/>
        <v>0.10002265998707013</v>
      </c>
      <c r="F2957" s="273">
        <f t="shared" si="310"/>
        <v>1.9100204929253128E-2</v>
      </c>
      <c r="G2957" s="273">
        <f t="shared" si="310"/>
        <v>0</v>
      </c>
      <c r="H2957" s="273">
        <f t="shared" si="310"/>
        <v>6.8023609547551628E-2</v>
      </c>
      <c r="I2957" s="273">
        <f t="shared" si="310"/>
        <v>7.628361422986233E-3</v>
      </c>
      <c r="J2957" s="273">
        <f t="shared" si="310"/>
        <v>1.6383706111791425E-2</v>
      </c>
      <c r="K2957" s="273">
        <f t="shared" si="311"/>
        <v>8.5083687297641222E-2</v>
      </c>
      <c r="L2957" s="273">
        <f t="shared" si="311"/>
        <v>0.18421982900053827</v>
      </c>
      <c r="M2957" s="273">
        <f t="shared" si="311"/>
        <v>2.6092758278802117E-2</v>
      </c>
      <c r="N2957" s="273">
        <f t="shared" si="311"/>
        <v>6.5871089330229282E-2</v>
      </c>
      <c r="O2957" s="273">
        <f t="shared" si="311"/>
        <v>6.6203488041355049E-2</v>
      </c>
      <c r="P2957" s="273">
        <f t="shared" si="311"/>
        <v>0</v>
      </c>
      <c r="Q2957" s="273">
        <f t="shared" si="311"/>
        <v>0.23577758656996964</v>
      </c>
      <c r="R2957" s="273">
        <f t="shared" si="311"/>
        <v>0.10047492774172513</v>
      </c>
      <c r="S2957" s="273">
        <f t="shared" si="311"/>
        <v>0.21579361496475791</v>
      </c>
      <c r="T2957" s="265"/>
    </row>
    <row r="2958" spans="1:20">
      <c r="A2958" s="285" t="s">
        <v>57</v>
      </c>
      <c r="B2958" s="273">
        <f t="shared" si="310"/>
        <v>0</v>
      </c>
      <c r="C2958" s="273">
        <f t="shared" si="310"/>
        <v>0.23653664223571574</v>
      </c>
      <c r="D2958" s="273">
        <f t="shared" si="310"/>
        <v>3.3502872429210614E-2</v>
      </c>
      <c r="E2958" s="273">
        <f t="shared" si="310"/>
        <v>8.4577900083360691E-2</v>
      </c>
      <c r="F2958" s="273">
        <f t="shared" si="310"/>
        <v>1.6150892450639814E-2</v>
      </c>
      <c r="G2958" s="273">
        <f t="shared" si="310"/>
        <v>0</v>
      </c>
      <c r="H2958" s="273">
        <f t="shared" si="310"/>
        <v>5.7519906512845054E-2</v>
      </c>
      <c r="I2958" s="273">
        <f t="shared" si="310"/>
        <v>6.4504462320487789E-3</v>
      </c>
      <c r="J2958" s="273">
        <f t="shared" si="310"/>
        <v>1.3853855303361954E-2</v>
      </c>
      <c r="K2958" s="273">
        <f t="shared" si="311"/>
        <v>7.1945693145073847E-2</v>
      </c>
      <c r="L2958" s="273">
        <f t="shared" si="311"/>
        <v>0.15577396454558851</v>
      </c>
      <c r="M2958" s="273">
        <f t="shared" si="311"/>
        <v>2.206370739279568E-2</v>
      </c>
      <c r="N2958" s="273">
        <f t="shared" si="311"/>
        <v>5.5699762558548735E-2</v>
      </c>
      <c r="O2958" s="273">
        <f t="shared" si="311"/>
        <v>5.5980834717408195E-2</v>
      </c>
      <c r="P2958" s="273">
        <f t="shared" si="311"/>
        <v>0</v>
      </c>
      <c r="Q2958" s="273">
        <f t="shared" si="311"/>
        <v>0.19937055424629432</v>
      </c>
      <c r="R2958" s="273">
        <f t="shared" si="311"/>
        <v>8.4960331993980565E-2</v>
      </c>
      <c r="S2958" s="273">
        <f t="shared" si="311"/>
        <v>0.18247235983801921</v>
      </c>
      <c r="T2958" s="265"/>
    </row>
    <row r="2959" spans="1:20">
      <c r="A2959" s="285" t="s">
        <v>92</v>
      </c>
      <c r="B2959" s="273">
        <f t="shared" si="310"/>
        <v>0</v>
      </c>
      <c r="C2959" s="273">
        <f t="shared" si="310"/>
        <v>0</v>
      </c>
      <c r="D2959" s="273">
        <f t="shared" si="310"/>
        <v>0</v>
      </c>
      <c r="E2959" s="273">
        <f t="shared" si="310"/>
        <v>0</v>
      </c>
      <c r="F2959" s="273">
        <f t="shared" si="310"/>
        <v>0</v>
      </c>
      <c r="G2959" s="273">
        <f t="shared" si="310"/>
        <v>0</v>
      </c>
      <c r="H2959" s="273">
        <f t="shared" si="310"/>
        <v>0</v>
      </c>
      <c r="I2959" s="273">
        <f t="shared" si="310"/>
        <v>0</v>
      </c>
      <c r="J2959" s="273">
        <f t="shared" si="310"/>
        <v>0</v>
      </c>
      <c r="K2959" s="273">
        <f t="shared" si="311"/>
        <v>0</v>
      </c>
      <c r="L2959" s="273">
        <f t="shared" si="311"/>
        <v>0</v>
      </c>
      <c r="M2959" s="273">
        <f t="shared" si="311"/>
        <v>0</v>
      </c>
      <c r="N2959" s="273">
        <f t="shared" si="311"/>
        <v>0</v>
      </c>
      <c r="O2959" s="273">
        <f t="shared" si="311"/>
        <v>0</v>
      </c>
      <c r="P2959" s="273">
        <f t="shared" si="311"/>
        <v>0</v>
      </c>
      <c r="Q2959" s="273">
        <f t="shared" si="311"/>
        <v>0</v>
      </c>
      <c r="R2959" s="273">
        <f t="shared" si="311"/>
        <v>0</v>
      </c>
      <c r="S2959" s="273">
        <f t="shared" si="311"/>
        <v>0</v>
      </c>
      <c r="T2959" s="265"/>
    </row>
    <row r="2960" spans="1:20">
      <c r="A2960" s="285" t="s">
        <v>58</v>
      </c>
      <c r="B2960" s="273">
        <f t="shared" si="310"/>
        <v>0</v>
      </c>
      <c r="C2960" s="273">
        <f t="shared" si="310"/>
        <v>0.2492405171151357</v>
      </c>
      <c r="D2960" s="273">
        <f t="shared" si="310"/>
        <v>3.5302239729849479E-2</v>
      </c>
      <c r="E2960" s="273">
        <f t="shared" si="310"/>
        <v>8.9120397389771094E-2</v>
      </c>
      <c r="F2960" s="273">
        <f t="shared" si="310"/>
        <v>1.7018322185604218E-2</v>
      </c>
      <c r="G2960" s="273">
        <f t="shared" si="310"/>
        <v>0</v>
      </c>
      <c r="H2960" s="273">
        <f t="shared" si="310"/>
        <v>6.0609177115946496E-2</v>
      </c>
      <c r="I2960" s="273">
        <f t="shared" si="310"/>
        <v>6.7968858410405756E-3</v>
      </c>
      <c r="J2960" s="273">
        <f t="shared" si="310"/>
        <v>1.4597916108098128E-2</v>
      </c>
      <c r="K2960" s="273">
        <f t="shared" si="311"/>
        <v>7.5809741755848273E-2</v>
      </c>
      <c r="L2960" s="273">
        <f t="shared" si="311"/>
        <v>0.16414024951671913</v>
      </c>
      <c r="M2960" s="273">
        <f t="shared" si="311"/>
        <v>2.3248701715218201E-2</v>
      </c>
      <c r="N2960" s="273">
        <f t="shared" si="311"/>
        <v>5.8691277140260172E-2</v>
      </c>
      <c r="O2960" s="273">
        <f t="shared" si="311"/>
        <v>5.8987445080916863E-2</v>
      </c>
      <c r="P2960" s="273">
        <f t="shared" si="311"/>
        <v>0</v>
      </c>
      <c r="Q2960" s="273">
        <f t="shared" si="311"/>
        <v>0.21007831838738478</v>
      </c>
      <c r="R2960" s="273">
        <f t="shared" si="311"/>
        <v>8.9523368896694072E-2</v>
      </c>
      <c r="S2960" s="273">
        <f t="shared" si="311"/>
        <v>0.19227255826150336</v>
      </c>
      <c r="T2960" s="265"/>
    </row>
    <row r="2961" spans="1:20">
      <c r="A2961" s="285" t="s">
        <v>59</v>
      </c>
      <c r="B2961" s="273">
        <f t="shared" si="310"/>
        <v>0</v>
      </c>
      <c r="C2961" s="273">
        <f t="shared" si="310"/>
        <v>0.23776386639831976</v>
      </c>
      <c r="D2961" s="273">
        <f t="shared" si="310"/>
        <v>3.3676695538277977E-2</v>
      </c>
      <c r="E2961" s="273">
        <f t="shared" si="310"/>
        <v>8.5016715996293013E-2</v>
      </c>
      <c r="F2961" s="273">
        <f t="shared" si="310"/>
        <v>1.6234688201165821E-2</v>
      </c>
      <c r="G2961" s="273">
        <f t="shared" si="310"/>
        <v>0</v>
      </c>
      <c r="H2961" s="273">
        <f t="shared" si="310"/>
        <v>5.7818337311710211E-2</v>
      </c>
      <c r="I2961" s="273">
        <f t="shared" si="310"/>
        <v>6.4839131122780991E-3</v>
      </c>
      <c r="J2961" s="273">
        <f t="shared" si="310"/>
        <v>0</v>
      </c>
      <c r="K2961" s="273">
        <f t="shared" si="311"/>
        <v>7.231896931991251E-2</v>
      </c>
      <c r="L2961" s="273">
        <f t="shared" si="311"/>
        <v>0.15658216733137281</v>
      </c>
      <c r="M2961" s="273">
        <f t="shared" si="311"/>
        <v>2.2178180628625584E-2</v>
      </c>
      <c r="N2961" s="273">
        <f t="shared" si="311"/>
        <v>5.5988749896058315E-2</v>
      </c>
      <c r="O2961" s="273">
        <f t="shared" si="311"/>
        <v>5.6271280342908722E-2</v>
      </c>
      <c r="P2961" s="273">
        <f t="shared" si="311"/>
        <v>0</v>
      </c>
      <c r="Q2961" s="273">
        <f t="shared" si="311"/>
        <v>0.20040494942147816</v>
      </c>
      <c r="R2961" s="273">
        <f t="shared" si="311"/>
        <v>8.5401132080175954E-2</v>
      </c>
      <c r="S2961" s="273">
        <f t="shared" si="311"/>
        <v>0</v>
      </c>
      <c r="T2961" s="265"/>
    </row>
    <row r="2962" spans="1:20">
      <c r="A2962" s="285" t="s">
        <v>72</v>
      </c>
      <c r="B2962" s="273">
        <f t="shared" si="310"/>
        <v>0</v>
      </c>
      <c r="C2962" s="273">
        <f t="shared" si="310"/>
        <v>0.24555815657625771</v>
      </c>
      <c r="D2962" s="273">
        <f t="shared" si="310"/>
        <v>1.1477622072711611E-2</v>
      </c>
      <c r="E2962" s="273">
        <f t="shared" si="310"/>
        <v>2.897522219658975E-2</v>
      </c>
      <c r="F2962" s="273">
        <f t="shared" si="310"/>
        <v>0</v>
      </c>
      <c r="G2962" s="273">
        <f t="shared" si="310"/>
        <v>0</v>
      </c>
      <c r="H2962" s="273">
        <f t="shared" si="310"/>
        <v>0</v>
      </c>
      <c r="I2962" s="273">
        <f t="shared" si="310"/>
        <v>0</v>
      </c>
      <c r="J2962" s="273">
        <f t="shared" si="310"/>
        <v>0</v>
      </c>
      <c r="K2962" s="273">
        <f t="shared" si="311"/>
        <v>7.4689703951660469E-2</v>
      </c>
      <c r="L2962" s="273">
        <f t="shared" si="311"/>
        <v>0.16171518803531176</v>
      </c>
      <c r="M2962" s="273">
        <f t="shared" si="311"/>
        <v>2.2905217827577578E-2</v>
      </c>
      <c r="N2962" s="273">
        <f t="shared" si="311"/>
        <v>5.7824153105134654E-2</v>
      </c>
      <c r="O2962" s="273">
        <f t="shared" si="311"/>
        <v>5.8115945364220066E-2</v>
      </c>
      <c r="P2962" s="273">
        <f t="shared" si="311"/>
        <v>0</v>
      </c>
      <c r="Q2962" s="273">
        <f t="shared" si="311"/>
        <v>0.20697455292157091</v>
      </c>
      <c r="R2962" s="273">
        <f t="shared" si="311"/>
        <v>0</v>
      </c>
      <c r="S2962" s="273">
        <f t="shared" si="311"/>
        <v>0</v>
      </c>
      <c r="T2962" s="265"/>
    </row>
    <row r="2963" spans="1:20">
      <c r="A2963" s="285" t="s">
        <v>1178</v>
      </c>
      <c r="B2963" s="273">
        <f t="shared" si="310"/>
        <v>0</v>
      </c>
      <c r="C2963" s="273">
        <f t="shared" si="310"/>
        <v>0.36497679729075505</v>
      </c>
      <c r="D2963" s="273">
        <f t="shared" si="310"/>
        <v>5.1695039566295592E-2</v>
      </c>
      <c r="E2963" s="273">
        <f t="shared" si="310"/>
        <v>0.13050397097985619</v>
      </c>
      <c r="F2963" s="273">
        <f t="shared" si="310"/>
        <v>2.4920878830044905E-2</v>
      </c>
      <c r="G2963" s="273">
        <f t="shared" si="310"/>
        <v>0</v>
      </c>
      <c r="H2963" s="273">
        <f t="shared" si="310"/>
        <v>8.8753400154388165E-2</v>
      </c>
      <c r="I2963" s="273">
        <f t="shared" si="310"/>
        <v>9.9530592157611245E-3</v>
      </c>
      <c r="J2963" s="273">
        <f t="shared" si="310"/>
        <v>2.1376543147643909E-2</v>
      </c>
      <c r="K2963" s="273">
        <f t="shared" si="311"/>
        <v>0.11101243517604815</v>
      </c>
      <c r="L2963" s="273">
        <f t="shared" si="311"/>
        <v>0.24035972669501229</v>
      </c>
      <c r="M2963" s="273">
        <f t="shared" si="311"/>
        <v>3.4044371241890421E-2</v>
      </c>
      <c r="N2963" s="273">
        <f t="shared" si="311"/>
        <v>8.5944912197646162E-2</v>
      </c>
      <c r="O2963" s="273">
        <f t="shared" si="311"/>
        <v>8.6378607439865321E-2</v>
      </c>
      <c r="P2963" s="273">
        <f t="shared" si="311"/>
        <v>0</v>
      </c>
      <c r="Q2963" s="273">
        <f t="shared" si="311"/>
        <v>0.3076294043710241</v>
      </c>
      <c r="R2963" s="273">
        <f t="shared" si="311"/>
        <v>0.13109406464399442</v>
      </c>
      <c r="S2963" s="273">
        <f t="shared" si="311"/>
        <v>0.2815554362245466</v>
      </c>
      <c r="T2963" s="265"/>
    </row>
    <row r="2964" spans="1:20">
      <c r="A2964" s="285" t="s">
        <v>1177</v>
      </c>
      <c r="B2964" s="273">
        <f t="shared" si="310"/>
        <v>0</v>
      </c>
      <c r="C2964" s="273">
        <f t="shared" si="310"/>
        <v>0.27457966173341281</v>
      </c>
      <c r="D2964" s="273">
        <f t="shared" si="310"/>
        <v>3.8891257150522378E-2</v>
      </c>
      <c r="E2964" s="273">
        <f t="shared" si="310"/>
        <v>9.8180861009554685E-2</v>
      </c>
      <c r="F2964" s="273">
        <f t="shared" si="310"/>
        <v>1.8748497247078087E-2</v>
      </c>
      <c r="G2964" s="273">
        <f t="shared" si="310"/>
        <v>0</v>
      </c>
      <c r="H2964" s="273">
        <f t="shared" si="310"/>
        <v>6.6771035235612841E-2</v>
      </c>
      <c r="I2964" s="273">
        <f t="shared" si="310"/>
        <v>7.4878941701578177E-3</v>
      </c>
      <c r="J2964" s="273">
        <f t="shared" si="310"/>
        <v>1.6082019542282958E-2</v>
      </c>
      <c r="K2964" s="273">
        <f t="shared" si="311"/>
        <v>8.3516971832482648E-2</v>
      </c>
      <c r="L2964" s="273">
        <f t="shared" si="311"/>
        <v>0.1808276387434993</v>
      </c>
      <c r="M2964" s="273">
        <f t="shared" si="311"/>
        <v>2.5612290997441393E-2</v>
      </c>
      <c r="N2964" s="273">
        <f t="shared" si="311"/>
        <v>6.4658151132105698E-2</v>
      </c>
      <c r="O2964" s="273">
        <f t="shared" si="311"/>
        <v>6.4984429114125095E-2</v>
      </c>
      <c r="P2964" s="273">
        <f t="shared" si="311"/>
        <v>0</v>
      </c>
      <c r="Q2964" s="273">
        <f t="shared" si="311"/>
        <v>0.23143602118946721</v>
      </c>
      <c r="R2964" s="273">
        <f t="shared" si="311"/>
        <v>9.8624800788447056E-2</v>
      </c>
      <c r="S2964" s="273">
        <f t="shared" si="311"/>
        <v>0.21182003078445485</v>
      </c>
      <c r="T2964" s="265"/>
    </row>
    <row r="2965" spans="1:20">
      <c r="A2965" s="285" t="s">
        <v>60</v>
      </c>
      <c r="B2965" s="273">
        <f t="shared" si="310"/>
        <v>0</v>
      </c>
      <c r="C2965" s="273">
        <f t="shared" si="310"/>
        <v>0.23558701873238122</v>
      </c>
      <c r="D2965" s="273">
        <f t="shared" si="310"/>
        <v>3.336836846911681E-2</v>
      </c>
      <c r="E2965" s="273">
        <f t="shared" si="310"/>
        <v>8.4238345243050614E-2</v>
      </c>
      <c r="F2965" s="273">
        <f t="shared" si="310"/>
        <v>1.6086051473250484E-2</v>
      </c>
      <c r="G2965" s="273">
        <f t="shared" si="310"/>
        <v>0</v>
      </c>
      <c r="H2965" s="273">
        <f t="shared" si="310"/>
        <v>5.7288981381677574E-2</v>
      </c>
      <c r="I2965" s="273">
        <f t="shared" si="310"/>
        <v>6.4245496297674117E-3</v>
      </c>
      <c r="J2965" s="273">
        <f t="shared" si="310"/>
        <v>1.3798236239509862E-2</v>
      </c>
      <c r="K2965" s="273">
        <f t="shared" si="311"/>
        <v>7.1656852817721231E-2</v>
      </c>
      <c r="L2965" s="273">
        <f t="shared" si="311"/>
        <v>0.15514857891170999</v>
      </c>
      <c r="M2965" s="273">
        <f t="shared" si="311"/>
        <v>2.1975128241113914E-2</v>
      </c>
      <c r="N2965" s="273">
        <f t="shared" si="311"/>
        <v>5.5476144758127628E-2</v>
      </c>
      <c r="O2965" s="273">
        <f t="shared" si="311"/>
        <v>5.5756088496774214E-2</v>
      </c>
      <c r="P2965" s="273">
        <f t="shared" si="311"/>
        <v>0</v>
      </c>
      <c r="Q2965" s="273">
        <f t="shared" si="311"/>
        <v>0.19857014141217441</v>
      </c>
      <c r="R2965" s="273">
        <f t="shared" si="311"/>
        <v>8.4619241804528303E-2</v>
      </c>
      <c r="S2965" s="273">
        <f t="shared" si="311"/>
        <v>0.1817397881739706</v>
      </c>
      <c r="T2965" s="265"/>
    </row>
    <row r="2966" spans="1:20">
      <c r="A2966" s="285" t="s">
        <v>61</v>
      </c>
      <c r="B2966" s="273">
        <f t="shared" si="310"/>
        <v>0</v>
      </c>
      <c r="C2966" s="273">
        <f t="shared" si="310"/>
        <v>0.21316507213008473</v>
      </c>
      <c r="D2966" s="273">
        <f t="shared" si="310"/>
        <v>3.0192540785375862E-2</v>
      </c>
      <c r="E2966" s="273">
        <f t="shared" si="310"/>
        <v>7.6220977864030884E-2</v>
      </c>
      <c r="F2966" s="273">
        <f t="shared" si="310"/>
        <v>1.455506479530989E-2</v>
      </c>
      <c r="G2966" s="273">
        <f t="shared" si="310"/>
        <v>0</v>
      </c>
      <c r="H2966" s="273">
        <f t="shared" si="310"/>
        <v>5.1836514228132409E-2</v>
      </c>
      <c r="I2966" s="273">
        <f t="shared" si="310"/>
        <v>5.8130944251574904E-3</v>
      </c>
      <c r="J2966" s="273">
        <f t="shared" si="310"/>
        <v>0</v>
      </c>
      <c r="K2966" s="273">
        <f t="shared" si="311"/>
        <v>6.4836926421892482E-2</v>
      </c>
      <c r="L2966" s="273">
        <f t="shared" si="311"/>
        <v>0.14038234446255185</v>
      </c>
      <c r="M2966" s="273">
        <f t="shared" si="311"/>
        <v>1.9883649879309122E-2</v>
      </c>
      <c r="N2966" s="273">
        <f t="shared" si="311"/>
        <v>5.0196213961596681E-2</v>
      </c>
      <c r="O2966" s="273">
        <f t="shared" si="311"/>
        <v>5.0449514111842869E-2</v>
      </c>
      <c r="P2966" s="273">
        <f t="shared" si="311"/>
        <v>0</v>
      </c>
      <c r="Q2966" s="273">
        <f t="shared" si="311"/>
        <v>0.17967126858161347</v>
      </c>
      <c r="R2966" s="273">
        <f t="shared" si="311"/>
        <v>7.656562267272353E-2</v>
      </c>
      <c r="S2966" s="273">
        <f t="shared" si="311"/>
        <v>0</v>
      </c>
      <c r="T2966" s="265"/>
    </row>
    <row r="2967" spans="1:20">
      <c r="A2967" s="285" t="s">
        <v>73</v>
      </c>
      <c r="B2967" s="273">
        <f t="shared" si="310"/>
        <v>0</v>
      </c>
      <c r="C2967" s="273">
        <f t="shared" si="310"/>
        <v>0.18653552534460066</v>
      </c>
      <c r="D2967" s="273">
        <f t="shared" si="310"/>
        <v>8.7188480842629434E-3</v>
      </c>
      <c r="E2967" s="273">
        <f t="shared" si="310"/>
        <v>2.2010705609523975E-2</v>
      </c>
      <c r="F2967" s="273">
        <f t="shared" si="310"/>
        <v>0</v>
      </c>
      <c r="G2967" s="273">
        <f t="shared" si="310"/>
        <v>0</v>
      </c>
      <c r="H2967" s="273">
        <f t="shared" si="310"/>
        <v>0</v>
      </c>
      <c r="I2967" s="273">
        <f t="shared" si="310"/>
        <v>0</v>
      </c>
      <c r="J2967" s="273">
        <f t="shared" si="310"/>
        <v>0</v>
      </c>
      <c r="K2967" s="273">
        <f t="shared" si="311"/>
        <v>5.673720375942401E-2</v>
      </c>
      <c r="L2967" s="273">
        <f t="shared" si="311"/>
        <v>0.12284514583819119</v>
      </c>
      <c r="M2967" s="273">
        <f t="shared" si="311"/>
        <v>1.739969423199687E-2</v>
      </c>
      <c r="N2967" s="273">
        <f t="shared" si="311"/>
        <v>4.3925475445256726E-2</v>
      </c>
      <c r="O2967" s="273">
        <f t="shared" si="311"/>
        <v>4.414713219288377E-2</v>
      </c>
      <c r="P2967" s="273">
        <f t="shared" si="311"/>
        <v>0</v>
      </c>
      <c r="Q2967" s="273">
        <f t="shared" si="311"/>
        <v>0.15722591951532011</v>
      </c>
      <c r="R2967" s="273">
        <f t="shared" si="311"/>
        <v>0</v>
      </c>
      <c r="S2967" s="273">
        <f t="shared" si="311"/>
        <v>0</v>
      </c>
      <c r="T2967" s="265"/>
    </row>
    <row r="2968" spans="1:20">
      <c r="A2968" s="285" t="s">
        <v>93</v>
      </c>
      <c r="B2968" s="273">
        <f t="shared" si="310"/>
        <v>0</v>
      </c>
      <c r="C2968" s="273">
        <f t="shared" si="310"/>
        <v>0.17232463951343183</v>
      </c>
      <c r="D2968" s="273">
        <f t="shared" si="310"/>
        <v>2.440793257001966E-2</v>
      </c>
      <c r="E2968" s="273">
        <f t="shared" si="310"/>
        <v>6.1617751925910555E-2</v>
      </c>
      <c r="F2968" s="273">
        <f t="shared" si="310"/>
        <v>1.1766450614459882E-2</v>
      </c>
      <c r="G2968" s="273">
        <f t="shared" si="310"/>
        <v>0</v>
      </c>
      <c r="H2968" s="273">
        <f t="shared" si="310"/>
        <v>4.1905123286541911E-2</v>
      </c>
      <c r="I2968" s="273">
        <f t="shared" si="310"/>
        <v>4.6993599432719928E-3</v>
      </c>
      <c r="J2968" s="273">
        <f t="shared" si="310"/>
        <v>1.0092984319292144E-2</v>
      </c>
      <c r="K2968" s="273">
        <f t="shared" si="311"/>
        <v>5.2414778186518129E-2</v>
      </c>
      <c r="L2968" s="273">
        <f t="shared" si="311"/>
        <v>0.11348640122804367</v>
      </c>
      <c r="M2968" s="273">
        <f t="shared" si="311"/>
        <v>1.6074128671381204E-2</v>
      </c>
      <c r="N2968" s="273">
        <f t="shared" si="311"/>
        <v>4.0579089198030167E-2</v>
      </c>
      <c r="O2968" s="273">
        <f t="shared" si="311"/>
        <v>4.0783859410352931E-2</v>
      </c>
      <c r="P2968" s="273">
        <f t="shared" si="311"/>
        <v>0</v>
      </c>
      <c r="Q2968" s="273">
        <f t="shared" si="311"/>
        <v>0.14524793522624099</v>
      </c>
      <c r="R2968" s="273">
        <f t="shared" si="311"/>
        <v>6.1896366015098188E-2</v>
      </c>
      <c r="S2968" s="273">
        <f t="shared" si="311"/>
        <v>0.13293705082241136</v>
      </c>
      <c r="T2968" s="265"/>
    </row>
    <row r="2969" spans="1:20">
      <c r="A2969" s="285" t="s">
        <v>94</v>
      </c>
      <c r="B2969" s="273">
        <f t="shared" si="310"/>
        <v>0</v>
      </c>
      <c r="C2969" s="273">
        <f t="shared" si="310"/>
        <v>0.35697307527106636</v>
      </c>
      <c r="D2969" s="273">
        <f t="shared" si="310"/>
        <v>5.0561398388125504E-2</v>
      </c>
      <c r="E2969" s="273">
        <f t="shared" si="310"/>
        <v>0.12764209725543918</v>
      </c>
      <c r="F2969" s="273">
        <f t="shared" si="310"/>
        <v>2.4374378920673612E-2</v>
      </c>
      <c r="G2969" s="273">
        <f t="shared" si="310"/>
        <v>0</v>
      </c>
      <c r="H2969" s="273">
        <f t="shared" si="310"/>
        <v>8.6807091379663456E-2</v>
      </c>
      <c r="I2969" s="273">
        <f t="shared" si="310"/>
        <v>9.7347946033260711E-3</v>
      </c>
      <c r="J2969" s="273">
        <f t="shared" si="310"/>
        <v>2.090776839164394E-2</v>
      </c>
      <c r="K2969" s="273">
        <f t="shared" si="311"/>
        <v>0.10857799912840542</v>
      </c>
      <c r="L2969" s="273">
        <f t="shared" si="311"/>
        <v>0.23508878220901888</v>
      </c>
      <c r="M2969" s="273">
        <f t="shared" si="311"/>
        <v>3.329779862199287E-2</v>
      </c>
      <c r="N2969" s="273">
        <f t="shared" si="311"/>
        <v>8.4060191877497914E-2</v>
      </c>
      <c r="O2969" s="273">
        <f t="shared" si="311"/>
        <v>8.4484376443461087E-2</v>
      </c>
      <c r="P2969" s="273">
        <f t="shared" si="311"/>
        <v>0</v>
      </c>
      <c r="Q2969" s="273">
        <f t="shared" si="311"/>
        <v>0.3008832762446747</v>
      </c>
      <c r="R2969" s="273">
        <f t="shared" si="311"/>
        <v>0.12821925051983582</v>
      </c>
      <c r="S2969" s="273">
        <f t="shared" si="311"/>
        <v>0.27538109456392246</v>
      </c>
      <c r="T2969" s="265"/>
    </row>
    <row r="2970" spans="1:20">
      <c r="A2970" s="285" t="s">
        <v>95</v>
      </c>
      <c r="B2970" s="273">
        <f t="shared" ref="B2970:J2985" si="312">B$2942*$B996*B628*(1-B2914)/(24*$F$14)*100</f>
        <v>0</v>
      </c>
      <c r="C2970" s="273">
        <f t="shared" si="312"/>
        <v>0.61600854063631738</v>
      </c>
      <c r="D2970" s="273">
        <f t="shared" si="312"/>
        <v>8.7250987234681013E-2</v>
      </c>
      <c r="E2970" s="273">
        <f t="shared" si="312"/>
        <v>0.22026485329285853</v>
      </c>
      <c r="F2970" s="273">
        <f t="shared" si="312"/>
        <v>4.2061507233954014E-2</v>
      </c>
      <c r="G2970" s="273">
        <f t="shared" si="312"/>
        <v>0</v>
      </c>
      <c r="H2970" s="273">
        <f t="shared" si="312"/>
        <v>0.14979815953084052</v>
      </c>
      <c r="I2970" s="273">
        <f t="shared" si="312"/>
        <v>1.6798792492782835E-2</v>
      </c>
      <c r="J2970" s="273">
        <f t="shared" si="312"/>
        <v>3.6079370650346124E-2</v>
      </c>
      <c r="K2970" s="273">
        <f t="shared" ref="K2970:S2985" si="313">K$2942*$B996*B628*(1-K2914)/(24*$F$14)*100</f>
        <v>0.18736700166395318</v>
      </c>
      <c r="L2970" s="273">
        <f t="shared" si="313"/>
        <v>0.4056796091374138</v>
      </c>
      <c r="M2970" s="273">
        <f t="shared" si="313"/>
        <v>5.7460155279106952E-2</v>
      </c>
      <c r="N2970" s="273">
        <f t="shared" si="313"/>
        <v>0.14505798815427737</v>
      </c>
      <c r="O2970" s="273">
        <f t="shared" si="313"/>
        <v>0.14578997981846942</v>
      </c>
      <c r="P2970" s="273">
        <f t="shared" si="313"/>
        <v>0</v>
      </c>
      <c r="Q2970" s="273">
        <f t="shared" si="313"/>
        <v>0.51921750053729854</v>
      </c>
      <c r="R2970" s="273">
        <f t="shared" si="313"/>
        <v>0.22126081451445626</v>
      </c>
      <c r="S2970" s="273">
        <f t="shared" si="313"/>
        <v>0.47520980693667231</v>
      </c>
      <c r="T2970" s="265"/>
    </row>
    <row r="2971" spans="1:20">
      <c r="A2971" s="285" t="s">
        <v>96</v>
      </c>
      <c r="B2971" s="273">
        <f t="shared" si="312"/>
        <v>0</v>
      </c>
      <c r="C2971" s="273">
        <f t="shared" si="312"/>
        <v>0</v>
      </c>
      <c r="D2971" s="273">
        <f t="shared" si="312"/>
        <v>0</v>
      </c>
      <c r="E2971" s="273">
        <f t="shared" si="312"/>
        <v>0</v>
      </c>
      <c r="F2971" s="273">
        <f t="shared" si="312"/>
        <v>0</v>
      </c>
      <c r="G2971" s="273">
        <f t="shared" si="312"/>
        <v>0</v>
      </c>
      <c r="H2971" s="273">
        <f t="shared" si="312"/>
        <v>0</v>
      </c>
      <c r="I2971" s="273">
        <f t="shared" si="312"/>
        <v>0</v>
      </c>
      <c r="J2971" s="273">
        <f t="shared" si="312"/>
        <v>0</v>
      </c>
      <c r="K2971" s="273">
        <f t="shared" si="313"/>
        <v>0</v>
      </c>
      <c r="L2971" s="273">
        <f t="shared" si="313"/>
        <v>0</v>
      </c>
      <c r="M2971" s="273">
        <f t="shared" si="313"/>
        <v>0</v>
      </c>
      <c r="N2971" s="273">
        <f t="shared" si="313"/>
        <v>0</v>
      </c>
      <c r="O2971" s="273">
        <f t="shared" si="313"/>
        <v>0</v>
      </c>
      <c r="P2971" s="273">
        <f t="shared" si="313"/>
        <v>0</v>
      </c>
      <c r="Q2971" s="273">
        <f t="shared" si="313"/>
        <v>0</v>
      </c>
      <c r="R2971" s="273">
        <f t="shared" si="313"/>
        <v>0</v>
      </c>
      <c r="S2971" s="273">
        <f t="shared" si="313"/>
        <v>0</v>
      </c>
      <c r="T2971" s="265"/>
    </row>
    <row r="2972" spans="1:20">
      <c r="A2972" s="285" t="s">
        <v>97</v>
      </c>
      <c r="B2972" s="273">
        <f t="shared" si="312"/>
        <v>0</v>
      </c>
      <c r="C2972" s="273">
        <f t="shared" si="312"/>
        <v>0.36749585606106</v>
      </c>
      <c r="D2972" s="273">
        <f t="shared" si="312"/>
        <v>5.2051837159368321E-2</v>
      </c>
      <c r="E2972" s="273">
        <f t="shared" si="312"/>
        <v>0.13140470542406399</v>
      </c>
      <c r="F2972" s="273">
        <f t="shared" si="312"/>
        <v>2.509288197886568E-2</v>
      </c>
      <c r="G2972" s="273">
        <f t="shared" si="312"/>
        <v>0</v>
      </c>
      <c r="H2972" s="273">
        <f t="shared" si="312"/>
        <v>8.9365973426752079E-2</v>
      </c>
      <c r="I2972" s="273">
        <f t="shared" si="312"/>
        <v>1.0021754928187066E-2</v>
      </c>
      <c r="J2972" s="273">
        <f t="shared" si="312"/>
        <v>2.1524083399228656E-2</v>
      </c>
      <c r="K2972" s="273">
        <f t="shared" si="313"/>
        <v>0.11177863963210938</v>
      </c>
      <c r="L2972" s="273">
        <f t="shared" si="313"/>
        <v>0.24201868222877132</v>
      </c>
      <c r="M2972" s="273">
        <f t="shared" si="313"/>
        <v>3.4279344458251024E-2</v>
      </c>
      <c r="N2972" s="273">
        <f t="shared" si="313"/>
        <v>8.6538101371428339E-2</v>
      </c>
      <c r="O2972" s="273">
        <f t="shared" si="313"/>
        <v>8.6974789965037672E-2</v>
      </c>
      <c r="P2972" s="273">
        <f t="shared" si="313"/>
        <v>0</v>
      </c>
      <c r="Q2972" s="273">
        <f t="shared" si="313"/>
        <v>0.30975265317707673</v>
      </c>
      <c r="R2972" s="273">
        <f t="shared" si="313"/>
        <v>0.13199887189675055</v>
      </c>
      <c r="S2972" s="273">
        <f t="shared" si="313"/>
        <v>0.28349872329433651</v>
      </c>
      <c r="T2972" s="265"/>
    </row>
    <row r="2973" spans="1:20">
      <c r="A2973" s="285" t="s">
        <v>1176</v>
      </c>
      <c r="B2973" s="273">
        <f t="shared" si="312"/>
        <v>0</v>
      </c>
      <c r="C2973" s="273">
        <f t="shared" si="312"/>
        <v>-0.17232463951343183</v>
      </c>
      <c r="D2973" s="273">
        <f t="shared" si="312"/>
        <v>-2.440793257001966E-2</v>
      </c>
      <c r="E2973" s="273">
        <f t="shared" si="312"/>
        <v>-6.1617751925910555E-2</v>
      </c>
      <c r="F2973" s="273">
        <f t="shared" si="312"/>
        <v>-1.1766450614459882E-2</v>
      </c>
      <c r="G2973" s="273">
        <f t="shared" si="312"/>
        <v>0</v>
      </c>
      <c r="H2973" s="273">
        <f t="shared" si="312"/>
        <v>-4.1905123286541911E-2</v>
      </c>
      <c r="I2973" s="273">
        <f t="shared" si="312"/>
        <v>-4.6993599432719928E-3</v>
      </c>
      <c r="J2973" s="273">
        <f t="shared" si="312"/>
        <v>0</v>
      </c>
      <c r="K2973" s="273">
        <f t="shared" si="313"/>
        <v>-5.2414778186518129E-2</v>
      </c>
      <c r="L2973" s="273">
        <f t="shared" si="313"/>
        <v>-0.11348640122804367</v>
      </c>
      <c r="M2973" s="273">
        <f t="shared" si="313"/>
        <v>-1.6074128671381204E-2</v>
      </c>
      <c r="N2973" s="273">
        <f t="shared" si="313"/>
        <v>-4.0579089198030167E-2</v>
      </c>
      <c r="O2973" s="273">
        <f t="shared" si="313"/>
        <v>-4.0783859410352931E-2</v>
      </c>
      <c r="P2973" s="273">
        <f t="shared" si="313"/>
        <v>0</v>
      </c>
      <c r="Q2973" s="273">
        <f t="shared" si="313"/>
        <v>-0.14524793522624099</v>
      </c>
      <c r="R2973" s="273">
        <f t="shared" si="313"/>
        <v>-6.1896366015098188E-2</v>
      </c>
      <c r="S2973" s="273">
        <f t="shared" si="313"/>
        <v>0</v>
      </c>
      <c r="T2973" s="265"/>
    </row>
    <row r="2974" spans="1:20">
      <c r="A2974" s="285" t="s">
        <v>62</v>
      </c>
      <c r="B2974" s="273">
        <f t="shared" si="312"/>
        <v>0</v>
      </c>
      <c r="C2974" s="273">
        <f t="shared" si="312"/>
        <v>-0.17021520418982108</v>
      </c>
      <c r="D2974" s="273">
        <f t="shared" si="312"/>
        <v>-2.4109153734416782E-2</v>
      </c>
      <c r="E2974" s="273">
        <f t="shared" si="312"/>
        <v>-6.0863485659397525E-2</v>
      </c>
      <c r="F2974" s="273">
        <f t="shared" si="312"/>
        <v>-1.1622416849876095E-2</v>
      </c>
      <c r="G2974" s="273">
        <f t="shared" si="312"/>
        <v>0</v>
      </c>
      <c r="H2974" s="273">
        <f t="shared" si="312"/>
        <v>-4.1392160383787631E-2</v>
      </c>
      <c r="I2974" s="273">
        <f t="shared" si="312"/>
        <v>0</v>
      </c>
      <c r="J2974" s="273">
        <f t="shared" si="312"/>
        <v>0</v>
      </c>
      <c r="K2974" s="273">
        <f t="shared" si="313"/>
        <v>-5.1773166024159621E-2</v>
      </c>
      <c r="L2974" s="273">
        <f t="shared" si="313"/>
        <v>-0.11209720799267213</v>
      </c>
      <c r="M2974" s="273">
        <f t="shared" si="313"/>
        <v>-1.5877364384443392E-2</v>
      </c>
      <c r="N2974" s="273">
        <f t="shared" si="313"/>
        <v>-4.0082358350973304E-2</v>
      </c>
      <c r="O2974" s="273">
        <f t="shared" si="313"/>
        <v>-4.0284621959943707E-2</v>
      </c>
      <c r="P2974" s="273">
        <f t="shared" si="313"/>
        <v>0</v>
      </c>
      <c r="Q2974" s="273">
        <f t="shared" si="313"/>
        <v>-0.14346994731857515</v>
      </c>
      <c r="R2974" s="273">
        <f t="shared" si="313"/>
        <v>0</v>
      </c>
      <c r="S2974" s="273">
        <f t="shared" si="313"/>
        <v>0</v>
      </c>
      <c r="T2974" s="265"/>
    </row>
    <row r="2975" spans="1:20">
      <c r="A2975" s="285" t="s">
        <v>63</v>
      </c>
      <c r="B2975" s="273">
        <f t="shared" si="312"/>
        <v>0</v>
      </c>
      <c r="C2975" s="273">
        <f t="shared" si="312"/>
        <v>-0.17232463951343183</v>
      </c>
      <c r="D2975" s="273">
        <f t="shared" si="312"/>
        <v>-2.440793257001966E-2</v>
      </c>
      <c r="E2975" s="273">
        <f t="shared" si="312"/>
        <v>-6.1617751925910555E-2</v>
      </c>
      <c r="F2975" s="273">
        <f t="shared" si="312"/>
        <v>-1.1766450614459882E-2</v>
      </c>
      <c r="G2975" s="273">
        <f t="shared" si="312"/>
        <v>0</v>
      </c>
      <c r="H2975" s="273">
        <f t="shared" si="312"/>
        <v>-4.1905123286541911E-2</v>
      </c>
      <c r="I2975" s="273">
        <f t="shared" si="312"/>
        <v>-4.6993599432719928E-3</v>
      </c>
      <c r="J2975" s="273">
        <f t="shared" si="312"/>
        <v>0</v>
      </c>
      <c r="K2975" s="273">
        <f t="shared" si="313"/>
        <v>-5.2414778186518129E-2</v>
      </c>
      <c r="L2975" s="273">
        <f t="shared" si="313"/>
        <v>-0.11348640122804367</v>
      </c>
      <c r="M2975" s="273">
        <f t="shared" si="313"/>
        <v>-1.6074128671381204E-2</v>
      </c>
      <c r="N2975" s="273">
        <f t="shared" si="313"/>
        <v>-4.0579089198030167E-2</v>
      </c>
      <c r="O2975" s="273">
        <f t="shared" si="313"/>
        <v>-4.0783859410352931E-2</v>
      </c>
      <c r="P2975" s="273">
        <f t="shared" si="313"/>
        <v>0</v>
      </c>
      <c r="Q2975" s="273">
        <f t="shared" si="313"/>
        <v>-0.14524793522624099</v>
      </c>
      <c r="R2975" s="273">
        <f t="shared" si="313"/>
        <v>-6.1896366015098188E-2</v>
      </c>
      <c r="S2975" s="273">
        <f t="shared" si="313"/>
        <v>0</v>
      </c>
      <c r="T2975" s="265"/>
    </row>
    <row r="2976" spans="1:20">
      <c r="A2976" s="285" t="s">
        <v>1516</v>
      </c>
      <c r="B2976" s="273">
        <f t="shared" si="312"/>
        <v>0</v>
      </c>
      <c r="C2976" s="273">
        <f t="shared" si="312"/>
        <v>-0.17232463951343183</v>
      </c>
      <c r="D2976" s="273">
        <f t="shared" si="312"/>
        <v>-2.440793257001966E-2</v>
      </c>
      <c r="E2976" s="273">
        <f t="shared" si="312"/>
        <v>-6.1617751925910555E-2</v>
      </c>
      <c r="F2976" s="273">
        <f t="shared" si="312"/>
        <v>-1.1766450614459882E-2</v>
      </c>
      <c r="G2976" s="273">
        <f t="shared" si="312"/>
        <v>0</v>
      </c>
      <c r="H2976" s="273">
        <f t="shared" si="312"/>
        <v>-4.1905123286541911E-2</v>
      </c>
      <c r="I2976" s="273">
        <f t="shared" si="312"/>
        <v>-4.6993599432719928E-3</v>
      </c>
      <c r="J2976" s="273">
        <f t="shared" si="312"/>
        <v>0</v>
      </c>
      <c r="K2976" s="273">
        <f t="shared" si="313"/>
        <v>-5.2414778186518129E-2</v>
      </c>
      <c r="L2976" s="273">
        <f t="shared" si="313"/>
        <v>-0.11348640122804367</v>
      </c>
      <c r="M2976" s="273">
        <f t="shared" si="313"/>
        <v>-1.6074128671381204E-2</v>
      </c>
      <c r="N2976" s="273">
        <f t="shared" si="313"/>
        <v>-4.0579089198030167E-2</v>
      </c>
      <c r="O2976" s="273">
        <f t="shared" si="313"/>
        <v>-4.0783859410352931E-2</v>
      </c>
      <c r="P2976" s="273">
        <f t="shared" si="313"/>
        <v>0</v>
      </c>
      <c r="Q2976" s="273">
        <f t="shared" si="313"/>
        <v>-0.14524793522624099</v>
      </c>
      <c r="R2976" s="273">
        <f t="shared" si="313"/>
        <v>-6.1896366015098188E-2</v>
      </c>
      <c r="S2976" s="273">
        <f t="shared" si="313"/>
        <v>0</v>
      </c>
      <c r="T2976" s="265"/>
    </row>
    <row r="2977" spans="1:20">
      <c r="A2977" s="285" t="s">
        <v>64</v>
      </c>
      <c r="B2977" s="273">
        <f t="shared" si="312"/>
        <v>0</v>
      </c>
      <c r="C2977" s="273">
        <f t="shared" si="312"/>
        <v>-0.17232463951343183</v>
      </c>
      <c r="D2977" s="273">
        <f t="shared" si="312"/>
        <v>-2.440793257001966E-2</v>
      </c>
      <c r="E2977" s="273">
        <f t="shared" si="312"/>
        <v>-6.1617751925910555E-2</v>
      </c>
      <c r="F2977" s="273">
        <f t="shared" si="312"/>
        <v>-1.1766450614459882E-2</v>
      </c>
      <c r="G2977" s="273">
        <f t="shared" si="312"/>
        <v>0</v>
      </c>
      <c r="H2977" s="273">
        <f t="shared" si="312"/>
        <v>-4.1905123286541911E-2</v>
      </c>
      <c r="I2977" s="273">
        <f t="shared" si="312"/>
        <v>-4.6993599432719928E-3</v>
      </c>
      <c r="J2977" s="273">
        <f t="shared" si="312"/>
        <v>0</v>
      </c>
      <c r="K2977" s="273">
        <f t="shared" si="313"/>
        <v>-5.2414778186518129E-2</v>
      </c>
      <c r="L2977" s="273">
        <f t="shared" si="313"/>
        <v>-0.11348640122804367</v>
      </c>
      <c r="M2977" s="273">
        <f t="shared" si="313"/>
        <v>-1.6074128671381204E-2</v>
      </c>
      <c r="N2977" s="273">
        <f t="shared" si="313"/>
        <v>-4.0579089198030167E-2</v>
      </c>
      <c r="O2977" s="273">
        <f t="shared" si="313"/>
        <v>-4.0783859410352931E-2</v>
      </c>
      <c r="P2977" s="273">
        <f t="shared" si="313"/>
        <v>0</v>
      </c>
      <c r="Q2977" s="273">
        <f t="shared" si="313"/>
        <v>-0.14524793522624099</v>
      </c>
      <c r="R2977" s="273">
        <f t="shared" si="313"/>
        <v>-6.1896366015098188E-2</v>
      </c>
      <c r="S2977" s="273">
        <f t="shared" si="313"/>
        <v>0</v>
      </c>
      <c r="T2977" s="265"/>
    </row>
    <row r="2978" spans="1:20">
      <c r="A2978" s="285" t="s">
        <v>1517</v>
      </c>
      <c r="B2978" s="273">
        <f t="shared" si="312"/>
        <v>0</v>
      </c>
      <c r="C2978" s="273">
        <f t="shared" si="312"/>
        <v>-0.17232463951343183</v>
      </c>
      <c r="D2978" s="273">
        <f t="shared" si="312"/>
        <v>-2.440793257001966E-2</v>
      </c>
      <c r="E2978" s="273">
        <f t="shared" si="312"/>
        <v>-6.1617751925910555E-2</v>
      </c>
      <c r="F2978" s="273">
        <f t="shared" si="312"/>
        <v>-1.1766450614459882E-2</v>
      </c>
      <c r="G2978" s="273">
        <f t="shared" si="312"/>
        <v>0</v>
      </c>
      <c r="H2978" s="273">
        <f t="shared" si="312"/>
        <v>-4.1905123286541911E-2</v>
      </c>
      <c r="I2978" s="273">
        <f t="shared" si="312"/>
        <v>-4.6993599432719928E-3</v>
      </c>
      <c r="J2978" s="273">
        <f t="shared" si="312"/>
        <v>0</v>
      </c>
      <c r="K2978" s="273">
        <f t="shared" si="313"/>
        <v>-5.2414778186518129E-2</v>
      </c>
      <c r="L2978" s="273">
        <f t="shared" si="313"/>
        <v>-0.11348640122804367</v>
      </c>
      <c r="M2978" s="273">
        <f t="shared" si="313"/>
        <v>-1.6074128671381204E-2</v>
      </c>
      <c r="N2978" s="273">
        <f t="shared" si="313"/>
        <v>-4.0579089198030167E-2</v>
      </c>
      <c r="O2978" s="273">
        <f t="shared" si="313"/>
        <v>-4.0783859410352931E-2</v>
      </c>
      <c r="P2978" s="273">
        <f t="shared" si="313"/>
        <v>0</v>
      </c>
      <c r="Q2978" s="273">
        <f t="shared" si="313"/>
        <v>-0.14524793522624099</v>
      </c>
      <c r="R2978" s="273">
        <f t="shared" si="313"/>
        <v>-6.1896366015098188E-2</v>
      </c>
      <c r="S2978" s="273">
        <f t="shared" si="313"/>
        <v>0</v>
      </c>
      <c r="T2978" s="265"/>
    </row>
    <row r="2979" spans="1:20">
      <c r="A2979" s="285" t="s">
        <v>65</v>
      </c>
      <c r="B2979" s="273">
        <f t="shared" si="312"/>
        <v>0</v>
      </c>
      <c r="C2979" s="273">
        <f t="shared" si="312"/>
        <v>-0.17021520418982108</v>
      </c>
      <c r="D2979" s="273">
        <f t="shared" si="312"/>
        <v>-2.4109153734416782E-2</v>
      </c>
      <c r="E2979" s="273">
        <f t="shared" si="312"/>
        <v>-6.0863485659397525E-2</v>
      </c>
      <c r="F2979" s="273">
        <f t="shared" si="312"/>
        <v>-1.1622416849876095E-2</v>
      </c>
      <c r="G2979" s="273">
        <f t="shared" si="312"/>
        <v>0</v>
      </c>
      <c r="H2979" s="273">
        <f t="shared" si="312"/>
        <v>-4.1392160383787631E-2</v>
      </c>
      <c r="I2979" s="273">
        <f t="shared" si="312"/>
        <v>0</v>
      </c>
      <c r="J2979" s="273">
        <f t="shared" si="312"/>
        <v>0</v>
      </c>
      <c r="K2979" s="273">
        <f t="shared" si="313"/>
        <v>-5.1773166024159621E-2</v>
      </c>
      <c r="L2979" s="273">
        <f t="shared" si="313"/>
        <v>-0.11209720799267213</v>
      </c>
      <c r="M2979" s="273">
        <f t="shared" si="313"/>
        <v>-1.5877364384443392E-2</v>
      </c>
      <c r="N2979" s="273">
        <f t="shared" si="313"/>
        <v>-4.0082358350973304E-2</v>
      </c>
      <c r="O2979" s="273">
        <f t="shared" si="313"/>
        <v>-4.0284621959943707E-2</v>
      </c>
      <c r="P2979" s="273">
        <f t="shared" si="313"/>
        <v>0</v>
      </c>
      <c r="Q2979" s="273">
        <f t="shared" si="313"/>
        <v>-0.14346994731857515</v>
      </c>
      <c r="R2979" s="273">
        <f t="shared" si="313"/>
        <v>0</v>
      </c>
      <c r="S2979" s="273">
        <f t="shared" si="313"/>
        <v>0</v>
      </c>
      <c r="T2979" s="265"/>
    </row>
    <row r="2980" spans="1:20">
      <c r="A2980" s="285" t="s">
        <v>1518</v>
      </c>
      <c r="B2980" s="273">
        <f t="shared" si="312"/>
        <v>0</v>
      </c>
      <c r="C2980" s="273">
        <f t="shared" si="312"/>
        <v>-0.17021520418982108</v>
      </c>
      <c r="D2980" s="273">
        <f t="shared" si="312"/>
        <v>-2.4109153734416782E-2</v>
      </c>
      <c r="E2980" s="273">
        <f t="shared" si="312"/>
        <v>-6.0863485659397525E-2</v>
      </c>
      <c r="F2980" s="273">
        <f t="shared" si="312"/>
        <v>-1.1622416849876095E-2</v>
      </c>
      <c r="G2980" s="273">
        <f t="shared" si="312"/>
        <v>0</v>
      </c>
      <c r="H2980" s="273">
        <f t="shared" si="312"/>
        <v>-4.1392160383787631E-2</v>
      </c>
      <c r="I2980" s="273">
        <f t="shared" si="312"/>
        <v>0</v>
      </c>
      <c r="J2980" s="273">
        <f t="shared" si="312"/>
        <v>0</v>
      </c>
      <c r="K2980" s="273">
        <f t="shared" si="313"/>
        <v>-5.1773166024159621E-2</v>
      </c>
      <c r="L2980" s="273">
        <f t="shared" si="313"/>
        <v>-0.11209720799267213</v>
      </c>
      <c r="M2980" s="273">
        <f t="shared" si="313"/>
        <v>-1.5877364384443392E-2</v>
      </c>
      <c r="N2980" s="273">
        <f t="shared" si="313"/>
        <v>-4.0082358350973304E-2</v>
      </c>
      <c r="O2980" s="273">
        <f t="shared" si="313"/>
        <v>-4.0284621959943707E-2</v>
      </c>
      <c r="P2980" s="273">
        <f t="shared" si="313"/>
        <v>0</v>
      </c>
      <c r="Q2980" s="273">
        <f t="shared" si="313"/>
        <v>-0.14346994731857515</v>
      </c>
      <c r="R2980" s="273">
        <f t="shared" si="313"/>
        <v>0</v>
      </c>
      <c r="S2980" s="273">
        <f t="shared" si="313"/>
        <v>0</v>
      </c>
      <c r="T2980" s="265"/>
    </row>
    <row r="2981" spans="1:20">
      <c r="A2981" s="285" t="s">
        <v>66</v>
      </c>
      <c r="B2981" s="273">
        <f t="shared" si="312"/>
        <v>0</v>
      </c>
      <c r="C2981" s="273">
        <f t="shared" si="312"/>
        <v>-0.17021520418982108</v>
      </c>
      <c r="D2981" s="273">
        <f t="shared" si="312"/>
        <v>-2.4109153734416782E-2</v>
      </c>
      <c r="E2981" s="273">
        <f t="shared" si="312"/>
        <v>-6.0863485659397525E-2</v>
      </c>
      <c r="F2981" s="273">
        <f t="shared" si="312"/>
        <v>-1.1622416849876095E-2</v>
      </c>
      <c r="G2981" s="273">
        <f t="shared" si="312"/>
        <v>0</v>
      </c>
      <c r="H2981" s="273">
        <f t="shared" si="312"/>
        <v>-4.1392160383787631E-2</v>
      </c>
      <c r="I2981" s="273">
        <f t="shared" si="312"/>
        <v>0</v>
      </c>
      <c r="J2981" s="273">
        <f t="shared" si="312"/>
        <v>0</v>
      </c>
      <c r="K2981" s="273">
        <f t="shared" si="313"/>
        <v>-5.1773166024159621E-2</v>
      </c>
      <c r="L2981" s="273">
        <f t="shared" si="313"/>
        <v>-0.11209720799267213</v>
      </c>
      <c r="M2981" s="273">
        <f t="shared" si="313"/>
        <v>-1.5877364384443392E-2</v>
      </c>
      <c r="N2981" s="273">
        <f t="shared" si="313"/>
        <v>-4.0082358350973304E-2</v>
      </c>
      <c r="O2981" s="273">
        <f t="shared" si="313"/>
        <v>-4.0284621959943707E-2</v>
      </c>
      <c r="P2981" s="273">
        <f t="shared" si="313"/>
        <v>0</v>
      </c>
      <c r="Q2981" s="273">
        <f t="shared" si="313"/>
        <v>-0.14346994731857515</v>
      </c>
      <c r="R2981" s="273">
        <f t="shared" si="313"/>
        <v>0</v>
      </c>
      <c r="S2981" s="273">
        <f t="shared" si="313"/>
        <v>0</v>
      </c>
      <c r="T2981" s="265"/>
    </row>
    <row r="2982" spans="1:20">
      <c r="A2982" s="285" t="s">
        <v>1519</v>
      </c>
      <c r="B2982" s="273">
        <f t="shared" si="312"/>
        <v>0</v>
      </c>
      <c r="C2982" s="273">
        <f t="shared" si="312"/>
        <v>-0.17021520418982108</v>
      </c>
      <c r="D2982" s="273">
        <f t="shared" si="312"/>
        <v>-2.4109153734416782E-2</v>
      </c>
      <c r="E2982" s="273">
        <f t="shared" si="312"/>
        <v>-6.0863485659397525E-2</v>
      </c>
      <c r="F2982" s="273">
        <f t="shared" si="312"/>
        <v>-1.1622416849876095E-2</v>
      </c>
      <c r="G2982" s="273">
        <f t="shared" si="312"/>
        <v>0</v>
      </c>
      <c r="H2982" s="273">
        <f t="shared" si="312"/>
        <v>-4.1392160383787631E-2</v>
      </c>
      <c r="I2982" s="273">
        <f t="shared" si="312"/>
        <v>0</v>
      </c>
      <c r="J2982" s="273">
        <f t="shared" si="312"/>
        <v>0</v>
      </c>
      <c r="K2982" s="273">
        <f t="shared" si="313"/>
        <v>-5.1773166024159621E-2</v>
      </c>
      <c r="L2982" s="273">
        <f t="shared" si="313"/>
        <v>-0.11209720799267213</v>
      </c>
      <c r="M2982" s="273">
        <f t="shared" si="313"/>
        <v>-1.5877364384443392E-2</v>
      </c>
      <c r="N2982" s="273">
        <f t="shared" si="313"/>
        <v>-4.0082358350973304E-2</v>
      </c>
      <c r="O2982" s="273">
        <f t="shared" si="313"/>
        <v>-4.0284621959943707E-2</v>
      </c>
      <c r="P2982" s="273">
        <f t="shared" si="313"/>
        <v>0</v>
      </c>
      <c r="Q2982" s="273">
        <f t="shared" si="313"/>
        <v>-0.14346994731857515</v>
      </c>
      <c r="R2982" s="273">
        <f t="shared" si="313"/>
        <v>0</v>
      </c>
      <c r="S2982" s="273">
        <f t="shared" si="313"/>
        <v>0</v>
      </c>
      <c r="T2982" s="265"/>
    </row>
    <row r="2983" spans="1:20">
      <c r="A2983" s="285" t="s">
        <v>74</v>
      </c>
      <c r="B2983" s="273">
        <f t="shared" si="312"/>
        <v>0</v>
      </c>
      <c r="C2983" s="273">
        <f t="shared" si="312"/>
        <v>-0.16843029737753509</v>
      </c>
      <c r="D2983" s="273">
        <f t="shared" si="312"/>
        <v>-7.8725924882622703E-3</v>
      </c>
      <c r="E2983" s="273">
        <f t="shared" si="312"/>
        <v>-1.9874335917797931E-2</v>
      </c>
      <c r="F2983" s="273">
        <f t="shared" si="312"/>
        <v>0</v>
      </c>
      <c r="G2983" s="273">
        <f t="shared" si="312"/>
        <v>0</v>
      </c>
      <c r="H2983" s="273">
        <f t="shared" si="312"/>
        <v>0</v>
      </c>
      <c r="I2983" s="273">
        <f t="shared" si="312"/>
        <v>0</v>
      </c>
      <c r="J2983" s="273">
        <f t="shared" si="312"/>
        <v>0</v>
      </c>
      <c r="K2983" s="273">
        <f t="shared" si="313"/>
        <v>-5.1230263425240889E-2</v>
      </c>
      <c r="L2983" s="273">
        <f t="shared" si="313"/>
        <v>-0.11092173679351162</v>
      </c>
      <c r="M2983" s="273">
        <f t="shared" si="313"/>
        <v>-1.5710871526265244E-2</v>
      </c>
      <c r="N2983" s="273">
        <f t="shared" si="313"/>
        <v>-3.9662047634232887E-2</v>
      </c>
      <c r="O2983" s="273">
        <f t="shared" si="313"/>
        <v>-3.9862190271135918E-2</v>
      </c>
      <c r="P2983" s="273">
        <f t="shared" si="313"/>
        <v>0</v>
      </c>
      <c r="Q2983" s="273">
        <f t="shared" si="313"/>
        <v>0</v>
      </c>
      <c r="R2983" s="273">
        <f t="shared" si="313"/>
        <v>0</v>
      </c>
      <c r="S2983" s="273">
        <f t="shared" si="313"/>
        <v>0</v>
      </c>
      <c r="T2983" s="265"/>
    </row>
    <row r="2984" spans="1:20">
      <c r="A2984" s="285" t="s">
        <v>1520</v>
      </c>
      <c r="B2984" s="273">
        <f t="shared" si="312"/>
        <v>0</v>
      </c>
      <c r="C2984" s="273">
        <f t="shared" si="312"/>
        <v>-0.16843029737753509</v>
      </c>
      <c r="D2984" s="273">
        <f t="shared" si="312"/>
        <v>-7.8725924882622703E-3</v>
      </c>
      <c r="E2984" s="273">
        <f t="shared" si="312"/>
        <v>-1.9874335917797931E-2</v>
      </c>
      <c r="F2984" s="273">
        <f t="shared" si="312"/>
        <v>0</v>
      </c>
      <c r="G2984" s="273">
        <f t="shared" si="312"/>
        <v>0</v>
      </c>
      <c r="H2984" s="273">
        <f t="shared" si="312"/>
        <v>0</v>
      </c>
      <c r="I2984" s="273">
        <f t="shared" si="312"/>
        <v>0</v>
      </c>
      <c r="J2984" s="273">
        <f t="shared" si="312"/>
        <v>0</v>
      </c>
      <c r="K2984" s="273">
        <f t="shared" si="313"/>
        <v>-5.1230263425240889E-2</v>
      </c>
      <c r="L2984" s="273">
        <f t="shared" si="313"/>
        <v>-0.11092173679351162</v>
      </c>
      <c r="M2984" s="273">
        <f t="shared" si="313"/>
        <v>-1.5710871526265244E-2</v>
      </c>
      <c r="N2984" s="273">
        <f t="shared" si="313"/>
        <v>-3.9662047634232887E-2</v>
      </c>
      <c r="O2984" s="273">
        <f t="shared" si="313"/>
        <v>-3.9862190271135918E-2</v>
      </c>
      <c r="P2984" s="273">
        <f t="shared" si="313"/>
        <v>0</v>
      </c>
      <c r="Q2984" s="273">
        <f t="shared" si="313"/>
        <v>0</v>
      </c>
      <c r="R2984" s="273">
        <f t="shared" si="313"/>
        <v>0</v>
      </c>
      <c r="S2984" s="273">
        <f t="shared" si="313"/>
        <v>0</v>
      </c>
      <c r="T2984" s="265"/>
    </row>
    <row r="2985" spans="1:20">
      <c r="A2985" s="285" t="s">
        <v>75</v>
      </c>
      <c r="B2985" s="273">
        <f t="shared" si="312"/>
        <v>0</v>
      </c>
      <c r="C2985" s="273">
        <f t="shared" si="312"/>
        <v>-0.16843029737753509</v>
      </c>
      <c r="D2985" s="273">
        <f t="shared" si="312"/>
        <v>-7.8725924882622703E-3</v>
      </c>
      <c r="E2985" s="273">
        <f t="shared" si="312"/>
        <v>-1.9874335917797931E-2</v>
      </c>
      <c r="F2985" s="273">
        <f t="shared" si="312"/>
        <v>0</v>
      </c>
      <c r="G2985" s="273">
        <f t="shared" si="312"/>
        <v>0</v>
      </c>
      <c r="H2985" s="273">
        <f t="shared" si="312"/>
        <v>0</v>
      </c>
      <c r="I2985" s="273">
        <f t="shared" si="312"/>
        <v>0</v>
      </c>
      <c r="J2985" s="273">
        <f t="shared" si="312"/>
        <v>0</v>
      </c>
      <c r="K2985" s="273">
        <f t="shared" si="313"/>
        <v>-5.1230263425240889E-2</v>
      </c>
      <c r="L2985" s="273">
        <f t="shared" si="313"/>
        <v>-0.11092173679351162</v>
      </c>
      <c r="M2985" s="273">
        <f t="shared" si="313"/>
        <v>-1.5710871526265244E-2</v>
      </c>
      <c r="N2985" s="273">
        <f t="shared" si="313"/>
        <v>-3.9662047634232887E-2</v>
      </c>
      <c r="O2985" s="273">
        <f t="shared" si="313"/>
        <v>-3.9862190271135918E-2</v>
      </c>
      <c r="P2985" s="273">
        <f t="shared" si="313"/>
        <v>0</v>
      </c>
      <c r="Q2985" s="273">
        <f t="shared" si="313"/>
        <v>0</v>
      </c>
      <c r="R2985" s="273">
        <f t="shared" si="313"/>
        <v>0</v>
      </c>
      <c r="S2985" s="273">
        <f t="shared" si="313"/>
        <v>0</v>
      </c>
      <c r="T2985" s="265"/>
    </row>
    <row r="2986" spans="1:20">
      <c r="A2986" s="285" t="s">
        <v>1521</v>
      </c>
      <c r="B2986" s="273">
        <f t="shared" ref="B2986:J2986" si="314">B$2942*$B1012*B644*(1-B2930)/(24*$F$14)*100</f>
        <v>0</v>
      </c>
      <c r="C2986" s="273">
        <f t="shared" si="314"/>
        <v>-0.16843029737753509</v>
      </c>
      <c r="D2986" s="273">
        <f t="shared" si="314"/>
        <v>-7.8725924882622703E-3</v>
      </c>
      <c r="E2986" s="273">
        <f t="shared" si="314"/>
        <v>-1.9874335917797931E-2</v>
      </c>
      <c r="F2986" s="273">
        <f t="shared" si="314"/>
        <v>0</v>
      </c>
      <c r="G2986" s="273">
        <f t="shared" si="314"/>
        <v>0</v>
      </c>
      <c r="H2986" s="273">
        <f t="shared" si="314"/>
        <v>0</v>
      </c>
      <c r="I2986" s="273">
        <f t="shared" si="314"/>
        <v>0</v>
      </c>
      <c r="J2986" s="273">
        <f t="shared" si="314"/>
        <v>0</v>
      </c>
      <c r="K2986" s="273">
        <f t="shared" ref="K2986:S2986" si="315">K$2942*$B1012*B644*(1-K2930)/(24*$F$14)*100</f>
        <v>-5.1230263425240889E-2</v>
      </c>
      <c r="L2986" s="273">
        <f t="shared" si="315"/>
        <v>-0.11092173679351162</v>
      </c>
      <c r="M2986" s="273">
        <f t="shared" si="315"/>
        <v>-1.5710871526265244E-2</v>
      </c>
      <c r="N2986" s="273">
        <f t="shared" si="315"/>
        <v>-3.9662047634232887E-2</v>
      </c>
      <c r="O2986" s="273">
        <f t="shared" si="315"/>
        <v>-3.9862190271135918E-2</v>
      </c>
      <c r="P2986" s="273">
        <f t="shared" si="315"/>
        <v>0</v>
      </c>
      <c r="Q2986" s="273">
        <f t="shared" si="315"/>
        <v>0</v>
      </c>
      <c r="R2986" s="273">
        <f t="shared" si="315"/>
        <v>0</v>
      </c>
      <c r="S2986" s="273">
        <f t="shared" si="315"/>
        <v>0</v>
      </c>
      <c r="T2986" s="265"/>
    </row>
    <row r="2988" spans="1:20" ht="21" customHeight="1">
      <c r="A2988" s="1" t="s">
        <v>1152</v>
      </c>
    </row>
    <row r="2989" spans="1:20">
      <c r="A2989" s="264" t="s">
        <v>217</v>
      </c>
    </row>
    <row r="2990" spans="1:20">
      <c r="A2990" s="269" t="s">
        <v>1368</v>
      </c>
    </row>
    <row r="2991" spans="1:20">
      <c r="A2991" s="269" t="s">
        <v>663</v>
      </c>
    </row>
    <row r="2992" spans="1:20">
      <c r="A2992" s="269" t="s">
        <v>491</v>
      </c>
    </row>
    <row r="2993" spans="1:20">
      <c r="A2993" s="269" t="s">
        <v>661</v>
      </c>
    </row>
    <row r="2994" spans="1:20">
      <c r="A2994" s="269" t="s">
        <v>480</v>
      </c>
    </row>
    <row r="2995" spans="1:20">
      <c r="A2995" s="264" t="s">
        <v>1149</v>
      </c>
    </row>
    <row r="2997" spans="1:20" ht="30">
      <c r="B2997" s="284" t="s">
        <v>22</v>
      </c>
      <c r="C2997" s="284" t="s">
        <v>182</v>
      </c>
      <c r="D2997" s="284" t="s">
        <v>183</v>
      </c>
      <c r="E2997" s="284" t="s">
        <v>184</v>
      </c>
      <c r="F2997" s="284" t="s">
        <v>185</v>
      </c>
      <c r="G2997" s="284" t="s">
        <v>186</v>
      </c>
      <c r="H2997" s="284" t="s">
        <v>187</v>
      </c>
      <c r="I2997" s="284" t="s">
        <v>188</v>
      </c>
      <c r="J2997" s="284" t="s">
        <v>189</v>
      </c>
      <c r="K2997" s="284" t="s">
        <v>170</v>
      </c>
      <c r="L2997" s="284" t="s">
        <v>567</v>
      </c>
      <c r="M2997" s="284" t="s">
        <v>568</v>
      </c>
      <c r="N2997" s="284" t="s">
        <v>569</v>
      </c>
      <c r="O2997" s="284" t="s">
        <v>570</v>
      </c>
      <c r="P2997" s="284" t="s">
        <v>571</v>
      </c>
      <c r="Q2997" s="284" t="s">
        <v>572</v>
      </c>
      <c r="R2997" s="284" t="s">
        <v>573</v>
      </c>
      <c r="S2997" s="284" t="s">
        <v>574</v>
      </c>
    </row>
    <row r="2998" spans="1:20">
      <c r="A2998" s="285" t="s">
        <v>54</v>
      </c>
      <c r="B2998" s="273">
        <f t="shared" ref="B2998:J2998" si="316">B2183*B$2942*B$612*(1-B$2898)*100/(24*$F$14)</f>
        <v>0</v>
      </c>
      <c r="C2998" s="273">
        <f t="shared" si="316"/>
        <v>0.35943043293308596</v>
      </c>
      <c r="D2998" s="273">
        <f t="shared" si="316"/>
        <v>5.0909456682542056E-2</v>
      </c>
      <c r="E2998" s="273">
        <f t="shared" si="316"/>
        <v>0.12096639364132218</v>
      </c>
      <c r="F2998" s="273">
        <f t="shared" si="316"/>
        <v>2.3099594715843694E-2</v>
      </c>
      <c r="G2998" s="273">
        <f t="shared" si="316"/>
        <v>0</v>
      </c>
      <c r="H2998" s="273">
        <f t="shared" si="316"/>
        <v>8.226706558790213E-2</v>
      </c>
      <c r="I2998" s="273">
        <f t="shared" si="316"/>
        <v>9.2256631732301041E-3</v>
      </c>
      <c r="J2998" s="273">
        <f t="shared" si="316"/>
        <v>1.9814288513011886E-2</v>
      </c>
      <c r="K2998" s="273">
        <f t="shared" ref="K2998:S2998" si="317">B2183*K$2942*B$612*(1-K$2898)*100/(24*$F$14)</f>
        <v>0.11489029765703959</v>
      </c>
      <c r="L2998" s="273">
        <f t="shared" si="317"/>
        <v>0.23670710375827725</v>
      </c>
      <c r="M2998" s="273">
        <f t="shared" si="317"/>
        <v>3.3527016471294267E-2</v>
      </c>
      <c r="N2998" s="273">
        <f t="shared" si="317"/>
        <v>7.9663829401590169E-2</v>
      </c>
      <c r="O2998" s="273">
        <f t="shared" si="317"/>
        <v>8.0065829041882711E-2</v>
      </c>
      <c r="P2998" s="273">
        <f t="shared" si="317"/>
        <v>0</v>
      </c>
      <c r="Q2998" s="273">
        <f t="shared" si="317"/>
        <v>0.28514702920828922</v>
      </c>
      <c r="R2998" s="273">
        <f t="shared" si="317"/>
        <v>0.12151336169084165</v>
      </c>
      <c r="S2998" s="273">
        <f t="shared" si="317"/>
        <v>0.2609786160104644</v>
      </c>
      <c r="T2998" s="265"/>
    </row>
    <row r="2999" spans="1:20">
      <c r="A2999" s="285" t="s">
        <v>55</v>
      </c>
      <c r="B2999" s="273">
        <f t="shared" ref="B2999:J2999" si="318">B2184*B$2942*B$613*(1-B$2899)*100/(24*$F$14)</f>
        <v>0</v>
      </c>
      <c r="C2999" s="273">
        <f t="shared" si="318"/>
        <v>0.44822645013097662</v>
      </c>
      <c r="D2999" s="273">
        <f t="shared" si="318"/>
        <v>6.3486457895903042E-2</v>
      </c>
      <c r="E2999" s="273">
        <f t="shared" si="318"/>
        <v>0.14887244058183499</v>
      </c>
      <c r="F2999" s="273">
        <f t="shared" si="318"/>
        <v>2.8428499340036394E-2</v>
      </c>
      <c r="G2999" s="273">
        <f t="shared" si="318"/>
        <v>0</v>
      </c>
      <c r="H2999" s="273">
        <f t="shared" si="318"/>
        <v>0.10124546549590775</v>
      </c>
      <c r="I2999" s="273">
        <f t="shared" si="318"/>
        <v>1.1353955022062852E-2</v>
      </c>
      <c r="J2999" s="273">
        <f t="shared" si="318"/>
        <v>2.4385297441131982E-2</v>
      </c>
      <c r="K2999" s="273">
        <f t="shared" ref="K2999:S2999" si="319">B2184*K$2942*B$613*(1-K$2899)*100/(24*$F$14)</f>
        <v>0.14561995537414368</v>
      </c>
      <c r="L2999" s="273">
        <f t="shared" si="319"/>
        <v>0.2951847565398264</v>
      </c>
      <c r="M2999" s="273">
        <f t="shared" si="319"/>
        <v>4.1809747309874204E-2</v>
      </c>
      <c r="N2999" s="273">
        <f t="shared" si="319"/>
        <v>9.8041682091267832E-2</v>
      </c>
      <c r="O2999" s="273">
        <f t="shared" si="319"/>
        <v>9.8536420057424148E-2</v>
      </c>
      <c r="P2999" s="273">
        <f t="shared" si="319"/>
        <v>0</v>
      </c>
      <c r="Q2999" s="273">
        <f t="shared" si="319"/>
        <v>0.35092832715810318</v>
      </c>
      <c r="R2999" s="273">
        <f t="shared" si="319"/>
        <v>0.14954559009056295</v>
      </c>
      <c r="S2999" s="273">
        <f t="shared" si="319"/>
        <v>0.32118444086503178</v>
      </c>
      <c r="T2999" s="265"/>
    </row>
    <row r="3000" spans="1:20">
      <c r="A3000" s="285" t="s">
        <v>91</v>
      </c>
      <c r="B3000" s="273">
        <f t="shared" ref="B3000:J3000" si="320">B2185*B$2942*B$614*(1-B$2900)*100/(24*$F$14)</f>
        <v>0</v>
      </c>
      <c r="C3000" s="273">
        <f t="shared" si="320"/>
        <v>2.5975692799002911E-2</v>
      </c>
      <c r="D3000" s="273">
        <f t="shared" si="320"/>
        <v>3.6791776271099643E-3</v>
      </c>
      <c r="E3000" s="273">
        <f t="shared" si="320"/>
        <v>1.4859288221533143E-2</v>
      </c>
      <c r="F3000" s="273">
        <f t="shared" si="320"/>
        <v>2.8375115215972945E-3</v>
      </c>
      <c r="G3000" s="273">
        <f t="shared" si="320"/>
        <v>0</v>
      </c>
      <c r="H3000" s="273">
        <f t="shared" si="320"/>
        <v>1.0105534288597867E-2</v>
      </c>
      <c r="I3000" s="273">
        <f t="shared" si="320"/>
        <v>1.1332634130788971E-3</v>
      </c>
      <c r="J3000" s="273">
        <f t="shared" si="320"/>
        <v>2.4339505796333902E-3</v>
      </c>
      <c r="K3000" s="273">
        <f t="shared" ref="K3000:S3000" si="321">B2185*K$2942*B$614*(1-K$2900)*100/(24*$F$14)</f>
        <v>1.1846029458839251E-3</v>
      </c>
      <c r="L3000" s="273">
        <f t="shared" si="321"/>
        <v>1.7106595455458801E-2</v>
      </c>
      <c r="M3000" s="273">
        <f t="shared" si="321"/>
        <v>2.4229653377391691E-3</v>
      </c>
      <c r="N3000" s="273">
        <f t="shared" si="321"/>
        <v>9.785757566842971E-3</v>
      </c>
      <c r="O3000" s="273">
        <f t="shared" si="321"/>
        <v>9.8351384596698822E-3</v>
      </c>
      <c r="P3000" s="273">
        <f t="shared" si="321"/>
        <v>0</v>
      </c>
      <c r="Q3000" s="273">
        <f t="shared" si="321"/>
        <v>3.5026934051479476E-2</v>
      </c>
      <c r="R3000" s="273">
        <f t="shared" si="321"/>
        <v>1.4926476765814939E-2</v>
      </c>
      <c r="S3000" s="273">
        <f t="shared" si="321"/>
        <v>3.2058130842974909E-2</v>
      </c>
      <c r="T3000" s="265"/>
    </row>
    <row r="3001" spans="1:20">
      <c r="A3001" s="285" t="s">
        <v>56</v>
      </c>
      <c r="B3001" s="273">
        <f t="shared" ref="B3001:J3001" si="322">B2186*B$2942*B$615*(1-B$2901)*100/(24*$F$14)</f>
        <v>0</v>
      </c>
      <c r="C3001" s="273">
        <f t="shared" si="322"/>
        <v>0.28030073497242936</v>
      </c>
      <c r="D3001" s="273">
        <f t="shared" si="322"/>
        <v>3.9701585669069339E-2</v>
      </c>
      <c r="E3001" s="273">
        <f t="shared" si="322"/>
        <v>0.10757158531617356</v>
      </c>
      <c r="F3001" s="273">
        <f t="shared" si="322"/>
        <v>2.0541738485750662E-2</v>
      </c>
      <c r="G3001" s="273">
        <f t="shared" si="322"/>
        <v>0</v>
      </c>
      <c r="H3001" s="273">
        <f t="shared" si="322"/>
        <v>7.3157497700065618E-2</v>
      </c>
      <c r="I3001" s="273">
        <f t="shared" si="322"/>
        <v>8.2040902705591764E-3</v>
      </c>
      <c r="J3001" s="273">
        <f t="shared" si="322"/>
        <v>1.7620219658500511E-2</v>
      </c>
      <c r="K3001" s="273">
        <f t="shared" ref="K3001:S3001" si="323">B2186*K$2942*B$615*(1-K$2901)*100/(24*$F$14)</f>
        <v>8.4386711264990311E-2</v>
      </c>
      <c r="L3001" s="273">
        <f t="shared" si="323"/>
        <v>0.18459531825173031</v>
      </c>
      <c r="M3001" s="273">
        <f t="shared" si="323"/>
        <v>2.6145942294446892E-2</v>
      </c>
      <c r="N3001" s="273">
        <f t="shared" si="323"/>
        <v>7.084252215120089E-2</v>
      </c>
      <c r="O3001" s="273">
        <f t="shared" si="323"/>
        <v>7.1200007708148425E-2</v>
      </c>
      <c r="P3001" s="273">
        <f t="shared" si="323"/>
        <v>0</v>
      </c>
      <c r="Q3001" s="273">
        <f t="shared" si="323"/>
        <v>0.25357222825939285</v>
      </c>
      <c r="R3001" s="273">
        <f t="shared" si="323"/>
        <v>0.10805798669124114</v>
      </c>
      <c r="S3001" s="273">
        <f t="shared" si="323"/>
        <v>0.23208002332539182</v>
      </c>
      <c r="T3001" s="265"/>
    </row>
    <row r="3002" spans="1:20">
      <c r="A3002" s="285" t="s">
        <v>57</v>
      </c>
      <c r="B3002" s="273">
        <f t="shared" ref="B3002:J3002" si="324">B2187*B$2942*B$616*(1-B$2902)*100/(24*$F$14)</f>
        <v>0</v>
      </c>
      <c r="C3002" s="273">
        <f t="shared" si="324"/>
        <v>0.33531619624538789</v>
      </c>
      <c r="D3002" s="273">
        <f t="shared" si="324"/>
        <v>4.7493934301571408E-2</v>
      </c>
      <c r="E3002" s="273">
        <f t="shared" si="324"/>
        <v>0.12311327802892948</v>
      </c>
      <c r="F3002" s="273">
        <f t="shared" si="324"/>
        <v>2.3509561135133226E-2</v>
      </c>
      <c r="G3002" s="273">
        <f t="shared" si="324"/>
        <v>0</v>
      </c>
      <c r="H3002" s="273">
        <f t="shared" si="324"/>
        <v>8.3727122992346387E-2</v>
      </c>
      <c r="I3002" s="273">
        <f t="shared" si="324"/>
        <v>9.3893981713210548E-3</v>
      </c>
      <c r="J3002" s="273">
        <f t="shared" si="324"/>
        <v>2.016594805563051E-2</v>
      </c>
      <c r="K3002" s="273">
        <f t="shared" ref="K3002:S3002" si="325">B2187*K$2942*B$616*(1-K$2902)*100/(24*$F$14)</f>
        <v>0.10450061364006147</v>
      </c>
      <c r="L3002" s="273">
        <f t="shared" si="325"/>
        <v>0.22082639193566639</v>
      </c>
      <c r="M3002" s="273">
        <f t="shared" si="325"/>
        <v>3.1277684370994194E-2</v>
      </c>
      <c r="N3002" s="273">
        <f t="shared" si="325"/>
        <v>8.107768515483682E-2</v>
      </c>
      <c r="O3002" s="273">
        <f t="shared" si="325"/>
        <v>8.1486819394463866E-2</v>
      </c>
      <c r="P3002" s="273">
        <f t="shared" si="325"/>
        <v>0</v>
      </c>
      <c r="Q3002" s="273">
        <f t="shared" si="325"/>
        <v>0.2902077546441077</v>
      </c>
      <c r="R3002" s="273">
        <f t="shared" si="325"/>
        <v>0.12366995354455323</v>
      </c>
      <c r="S3002" s="273">
        <f t="shared" si="325"/>
        <v>0.26561040587661139</v>
      </c>
      <c r="T3002" s="265"/>
    </row>
    <row r="3003" spans="1:20">
      <c r="A3003" s="285" t="s">
        <v>92</v>
      </c>
      <c r="B3003" s="273">
        <f t="shared" ref="B3003:J3003" si="326">B2188*B$2942*B$617*(1-B$2903)*100/(24*$F$14)</f>
        <v>0</v>
      </c>
      <c r="C3003" s="273">
        <f t="shared" si="326"/>
        <v>2.7777685060220429E-2</v>
      </c>
      <c r="D3003" s="273">
        <f t="shared" si="326"/>
        <v>3.9344104581646687E-3</v>
      </c>
      <c r="E3003" s="273">
        <f t="shared" si="326"/>
        <v>1.5568435486586638E-2</v>
      </c>
      <c r="F3003" s="273">
        <f t="shared" si="326"/>
        <v>2.9729294167951635E-3</v>
      </c>
      <c r="G3003" s="273">
        <f t="shared" si="326"/>
        <v>0</v>
      </c>
      <c r="H3003" s="273">
        <f t="shared" si="326"/>
        <v>1.0587812571098544E-2</v>
      </c>
      <c r="I3003" s="273">
        <f t="shared" si="326"/>
        <v>1.1873474740371796E-3</v>
      </c>
      <c r="J3003" s="273">
        <f t="shared" si="326"/>
        <v>2.5501088619877994E-3</v>
      </c>
      <c r="K3003" s="273">
        <f t="shared" ref="K3003:S3003" si="327">B2188*K$2942*B$617*(1-K$2903)*100/(24*$F$14)</f>
        <v>1.8415342915939794E-3</v>
      </c>
      <c r="L3003" s="273">
        <f t="shared" si="327"/>
        <v>1.8293318476286131E-2</v>
      </c>
      <c r="M3003" s="273">
        <f t="shared" si="327"/>
        <v>2.5910518954910329E-3</v>
      </c>
      <c r="N3003" s="273">
        <f t="shared" si="327"/>
        <v>1.0252774769251559E-2</v>
      </c>
      <c r="O3003" s="273">
        <f t="shared" si="327"/>
        <v>1.0304512324428104E-2</v>
      </c>
      <c r="P3003" s="273">
        <f t="shared" si="327"/>
        <v>0</v>
      </c>
      <c r="Q3003" s="273">
        <f t="shared" si="327"/>
        <v>3.6698565566764339E-2</v>
      </c>
      <c r="R3003" s="273">
        <f t="shared" si="327"/>
        <v>1.5638830548684767E-2</v>
      </c>
      <c r="S3003" s="273">
        <f t="shared" si="327"/>
        <v>3.3588078675676494E-2</v>
      </c>
      <c r="T3003" s="265"/>
    </row>
    <row r="3004" spans="1:20">
      <c r="A3004" s="285" t="s">
        <v>58</v>
      </c>
      <c r="B3004" s="273">
        <f t="shared" ref="B3004:J3004" si="328">B2189*B$2942*B$618*(1-B$2904)*100/(24*$F$14)</f>
        <v>0</v>
      </c>
      <c r="C3004" s="273">
        <f t="shared" si="328"/>
        <v>0.30230307855031369</v>
      </c>
      <c r="D3004" s="273">
        <f t="shared" si="328"/>
        <v>4.2817981095444498E-2</v>
      </c>
      <c r="E3004" s="273">
        <f t="shared" si="328"/>
        <v>0.10989085599308042</v>
      </c>
      <c r="F3004" s="273">
        <f t="shared" si="328"/>
        <v>2.0984623580198813E-2</v>
      </c>
      <c r="G3004" s="273">
        <f t="shared" si="328"/>
        <v>0</v>
      </c>
      <c r="H3004" s="273">
        <f t="shared" si="328"/>
        <v>7.4734791915010437E-2</v>
      </c>
      <c r="I3004" s="273">
        <f t="shared" si="328"/>
        <v>8.380972538671887E-3</v>
      </c>
      <c r="J3004" s="273">
        <f t="shared" si="328"/>
        <v>1.8000116065665147E-2</v>
      </c>
      <c r="K3004" s="273">
        <f t="shared" ref="K3004:S3004" si="329">B2189*K$2942*B$618*(1-K$2904)*100/(24*$F$14)</f>
        <v>9.4604655684292854E-2</v>
      </c>
      <c r="L3004" s="273">
        <f t="shared" si="329"/>
        <v>0.19908521823519973</v>
      </c>
      <c r="M3004" s="273">
        <f t="shared" si="329"/>
        <v>2.819828084998632E-2</v>
      </c>
      <c r="N3004" s="273">
        <f t="shared" si="329"/>
        <v>7.2369904905861301E-2</v>
      </c>
      <c r="O3004" s="273">
        <f t="shared" si="329"/>
        <v>7.2735097942132565E-2</v>
      </c>
      <c r="P3004" s="273">
        <f t="shared" si="329"/>
        <v>0</v>
      </c>
      <c r="Q3004" s="273">
        <f t="shared" si="329"/>
        <v>0.25903930984744794</v>
      </c>
      <c r="R3004" s="273">
        <f t="shared" si="329"/>
        <v>0.11038774430522423</v>
      </c>
      <c r="S3004" s="273">
        <f t="shared" si="329"/>
        <v>0.23708372752118295</v>
      </c>
      <c r="T3004" s="265"/>
    </row>
    <row r="3005" spans="1:20">
      <c r="A3005" s="285" t="s">
        <v>59</v>
      </c>
      <c r="B3005" s="273">
        <f t="shared" ref="B3005:J3005" si="330">B2190*B$2942*B$619*(1-B$2905)*100/(24*$F$14)</f>
        <v>0</v>
      </c>
      <c r="C3005" s="273">
        <f t="shared" si="330"/>
        <v>0.29605709140054159</v>
      </c>
      <c r="D3005" s="273">
        <f t="shared" si="330"/>
        <v>4.193330416465095E-2</v>
      </c>
      <c r="E3005" s="273">
        <f t="shared" si="330"/>
        <v>0.1079167069273043</v>
      </c>
      <c r="F3005" s="273">
        <f t="shared" si="330"/>
        <v>2.0607642486893632E-2</v>
      </c>
      <c r="G3005" s="273">
        <f t="shared" si="330"/>
        <v>0</v>
      </c>
      <c r="H3005" s="273">
        <f t="shared" si="330"/>
        <v>7.339220869180503E-2</v>
      </c>
      <c r="I3005" s="273">
        <f t="shared" si="330"/>
        <v>8.2304114300337274E-3</v>
      </c>
      <c r="J3005" s="273">
        <f t="shared" si="330"/>
        <v>0</v>
      </c>
      <c r="K3005" s="273">
        <f t="shared" ref="K3005:S3005" si="331">B2190*K$2942*B$619*(1-K$2905)*100/(24*$F$14)</f>
        <v>9.2494128578230431E-2</v>
      </c>
      <c r="L3005" s="273">
        <f t="shared" si="331"/>
        <v>0.19497185054880464</v>
      </c>
      <c r="M3005" s="273">
        <f t="shared" si="331"/>
        <v>2.7615666538946926E-2</v>
      </c>
      <c r="N3005" s="273">
        <f t="shared" si="331"/>
        <v>7.1069806013472944E-2</v>
      </c>
      <c r="O3005" s="273">
        <f t="shared" si="331"/>
        <v>7.1428438490315771E-2</v>
      </c>
      <c r="P3005" s="273">
        <f t="shared" si="331"/>
        <v>0</v>
      </c>
      <c r="Q3005" s="273">
        <f t="shared" si="331"/>
        <v>0.25438576331790919</v>
      </c>
      <c r="R3005" s="273">
        <f t="shared" si="331"/>
        <v>0.10840466882251967</v>
      </c>
      <c r="S3005" s="273">
        <f t="shared" si="331"/>
        <v>0</v>
      </c>
      <c r="T3005" s="265"/>
    </row>
    <row r="3006" spans="1:20">
      <c r="A3006" s="285" t="s">
        <v>72</v>
      </c>
      <c r="B3006" s="273">
        <f t="shared" ref="B3006:J3006" si="332">B2191*B$2942*B$620*(1-B$2906)*100/(24*$F$14)</f>
        <v>0</v>
      </c>
      <c r="C3006" s="273">
        <f t="shared" si="332"/>
        <v>0.30726777417595125</v>
      </c>
      <c r="D3006" s="273">
        <f t="shared" si="332"/>
        <v>1.4361988362702392E-2</v>
      </c>
      <c r="E3006" s="273">
        <f t="shared" si="332"/>
        <v>3.7223757794724692E-2</v>
      </c>
      <c r="F3006" s="273">
        <f t="shared" si="332"/>
        <v>0</v>
      </c>
      <c r="G3006" s="273">
        <f t="shared" si="332"/>
        <v>0</v>
      </c>
      <c r="H3006" s="273">
        <f t="shared" si="332"/>
        <v>0</v>
      </c>
      <c r="I3006" s="273">
        <f t="shared" si="332"/>
        <v>0</v>
      </c>
      <c r="J3006" s="273">
        <f t="shared" si="332"/>
        <v>0</v>
      </c>
      <c r="K3006" s="273">
        <f t="shared" ref="K3006:S3006" si="333">B2191*K$2942*B$620*(1-K$2906)*100/(24*$F$14)</f>
        <v>9.5875317601930424E-2</v>
      </c>
      <c r="L3006" s="273">
        <f t="shared" si="333"/>
        <v>0.20235477644427</v>
      </c>
      <c r="M3006" s="273">
        <f t="shared" si="333"/>
        <v>2.8661378620137307E-2</v>
      </c>
      <c r="N3006" s="273">
        <f t="shared" si="333"/>
        <v>7.4285272267004127E-2</v>
      </c>
      <c r="O3006" s="273">
        <f t="shared" si="333"/>
        <v>7.4660130630639018E-2</v>
      </c>
      <c r="P3006" s="273">
        <f t="shared" si="333"/>
        <v>0</v>
      </c>
      <c r="Q3006" s="273">
        <f t="shared" si="333"/>
        <v>0.26589513534535564</v>
      </c>
      <c r="R3006" s="273">
        <f t="shared" si="333"/>
        <v>0</v>
      </c>
      <c r="S3006" s="273">
        <f t="shared" si="333"/>
        <v>0</v>
      </c>
      <c r="T3006" s="265"/>
    </row>
    <row r="3007" spans="1:20">
      <c r="A3007" s="285" t="s">
        <v>1178</v>
      </c>
      <c r="B3007" s="273">
        <f t="shared" ref="B3007:J3007" si="334">B2192*B$2942*B$621*(1-B$2907)*100/(24*$F$14)</f>
        <v>0</v>
      </c>
      <c r="C3007" s="273">
        <f t="shared" si="334"/>
        <v>3.6177148976036433</v>
      </c>
      <c r="D3007" s="273">
        <f t="shared" si="334"/>
        <v>0.51241042214037369</v>
      </c>
      <c r="E3007" s="273">
        <f t="shared" si="334"/>
        <v>0.92338590089450956</v>
      </c>
      <c r="F3007" s="273">
        <f t="shared" si="334"/>
        <v>0.17632864331090631</v>
      </c>
      <c r="G3007" s="273">
        <f t="shared" si="334"/>
        <v>0</v>
      </c>
      <c r="H3007" s="273">
        <f t="shared" si="334"/>
        <v>0.62797812008080955</v>
      </c>
      <c r="I3007" s="273">
        <f t="shared" si="334"/>
        <v>7.042325594843836E-2</v>
      </c>
      <c r="J3007" s="273">
        <f t="shared" si="334"/>
        <v>0.15125055892317854</v>
      </c>
      <c r="K3007" s="273">
        <f t="shared" ref="K3007:S3007" si="335">B2192*K$2942*B$621*(1-K$2907)*100/(24*$F$14)</f>
        <v>1.3033164131390469</v>
      </c>
      <c r="L3007" s="273">
        <f t="shared" si="335"/>
        <v>2.3824883403636354</v>
      </c>
      <c r="M3007" s="273">
        <f t="shared" si="335"/>
        <v>0.33745385990446836</v>
      </c>
      <c r="N3007" s="273">
        <f t="shared" si="335"/>
        <v>0.60810655477428022</v>
      </c>
      <c r="O3007" s="273">
        <f t="shared" si="335"/>
        <v>0.61117518225697987</v>
      </c>
      <c r="P3007" s="273">
        <f t="shared" si="335"/>
        <v>0</v>
      </c>
      <c r="Q3007" s="273">
        <f t="shared" si="335"/>
        <v>2.176643764660811</v>
      </c>
      <c r="R3007" s="273">
        <f t="shared" si="335"/>
        <v>0.92756113146857788</v>
      </c>
      <c r="S3007" s="273">
        <f t="shared" si="335"/>
        <v>1.9921563932340356</v>
      </c>
      <c r="T3007" s="265"/>
    </row>
    <row r="3008" spans="1:20">
      <c r="A3008" s="285" t="s">
        <v>1177</v>
      </c>
      <c r="B3008" s="273">
        <f t="shared" ref="B3008:J3008" si="336">B2193*B$2942*B$622*(1-B$2908)*100/(24*$F$14)</f>
        <v>0</v>
      </c>
      <c r="C3008" s="273">
        <f t="shared" si="336"/>
        <v>3.6886217688672533</v>
      </c>
      <c r="D3008" s="273">
        <f t="shared" si="336"/>
        <v>0.52245361815366542</v>
      </c>
      <c r="E3008" s="273">
        <f t="shared" si="336"/>
        <v>0.94180852045107455</v>
      </c>
      <c r="F3008" s="273">
        <f t="shared" si="336"/>
        <v>0.17984660423005749</v>
      </c>
      <c r="G3008" s="273">
        <f t="shared" si="336"/>
        <v>0</v>
      </c>
      <c r="H3008" s="273">
        <f t="shared" si="336"/>
        <v>0.64050701183114767</v>
      </c>
      <c r="I3008" s="273">
        <f t="shared" si="336"/>
        <v>7.1828281573169991E-2</v>
      </c>
      <c r="J3008" s="273">
        <f t="shared" si="336"/>
        <v>0.15426818297619938</v>
      </c>
      <c r="K3008" s="273">
        <f t="shared" ref="K3008:S3008" si="337">B2193*K$2942*B$622*(1-K$2908)*100/(24*$F$14)</f>
        <v>1.3293357040953808</v>
      </c>
      <c r="L3008" s="273">
        <f t="shared" si="337"/>
        <v>2.4291848874434283</v>
      </c>
      <c r="M3008" s="273">
        <f t="shared" si="337"/>
        <v>0.34406792377597573</v>
      </c>
      <c r="N3008" s="273">
        <f t="shared" si="337"/>
        <v>0.62023898575206282</v>
      </c>
      <c r="O3008" s="273">
        <f t="shared" si="337"/>
        <v>0.62336883591167336</v>
      </c>
      <c r="P3008" s="273">
        <f t="shared" si="337"/>
        <v>0</v>
      </c>
      <c r="Q3008" s="273">
        <f t="shared" si="337"/>
        <v>2.2200703319797084</v>
      </c>
      <c r="R3008" s="273">
        <f t="shared" si="337"/>
        <v>0.94606705171703398</v>
      </c>
      <c r="S3008" s="273">
        <f t="shared" si="337"/>
        <v>2.031902223546342</v>
      </c>
      <c r="T3008" s="265"/>
    </row>
    <row r="3009" spans="1:20">
      <c r="A3009" s="285" t="s">
        <v>60</v>
      </c>
      <c r="B3009" s="273">
        <f t="shared" ref="B3009:J3009" si="338">B2194*B$2942*B$623*(1-B$2909)*100/(24*$F$14)</f>
        <v>0</v>
      </c>
      <c r="C3009" s="273">
        <f t="shared" si="338"/>
        <v>2.9116525056041538</v>
      </c>
      <c r="D3009" s="273">
        <f t="shared" si="338"/>
        <v>0.41240427500546506</v>
      </c>
      <c r="E3009" s="273">
        <f t="shared" si="338"/>
        <v>0.7432231092291085</v>
      </c>
      <c r="F3009" s="273">
        <f t="shared" si="338"/>
        <v>0.14192497676294275</v>
      </c>
      <c r="G3009" s="273">
        <f t="shared" si="338"/>
        <v>0</v>
      </c>
      <c r="H3009" s="273">
        <f t="shared" si="338"/>
        <v>0.50545265038395915</v>
      </c>
      <c r="I3009" s="273">
        <f t="shared" si="338"/>
        <v>5.6682900613202213E-2</v>
      </c>
      <c r="J3009" s="273">
        <f t="shared" si="338"/>
        <v>0.12173990372457252</v>
      </c>
      <c r="K3009" s="273">
        <f t="shared" ref="K3009:S3009" si="339">B2194*K$2942*B$623*(1-K$2909)*100/(24*$F$14)</f>
        <v>1.0490365279013563</v>
      </c>
      <c r="L3009" s="273">
        <f t="shared" si="339"/>
        <v>1.9175027170846113</v>
      </c>
      <c r="M3009" s="273">
        <f t="shared" si="339"/>
        <v>0.27159364530562474</v>
      </c>
      <c r="N3009" s="273">
        <f t="shared" si="339"/>
        <v>0.48945824702772345</v>
      </c>
      <c r="O3009" s="273">
        <f t="shared" si="339"/>
        <v>0.49192815138358209</v>
      </c>
      <c r="P3009" s="273">
        <f t="shared" si="339"/>
        <v>0</v>
      </c>
      <c r="Q3009" s="273">
        <f t="shared" si="339"/>
        <v>1.7519565166505338</v>
      </c>
      <c r="R3009" s="273">
        <f t="shared" si="339"/>
        <v>0.74658370618646019</v>
      </c>
      <c r="S3009" s="273">
        <f t="shared" si="339"/>
        <v>1.60346466977212</v>
      </c>
      <c r="T3009" s="265"/>
    </row>
    <row r="3010" spans="1:20">
      <c r="A3010" s="285" t="s">
        <v>61</v>
      </c>
      <c r="B3010" s="273">
        <f t="shared" ref="B3010:J3010" si="340">B2195*B$2942*B$624*(1-B$2910)*100/(24*$F$14)</f>
        <v>0</v>
      </c>
      <c r="C3010" s="273">
        <f t="shared" si="340"/>
        <v>2.743021471555239</v>
      </c>
      <c r="D3010" s="273">
        <f t="shared" si="340"/>
        <v>0.38851950194050938</v>
      </c>
      <c r="E3010" s="273">
        <f t="shared" si="340"/>
        <v>0.70017865897375453</v>
      </c>
      <c r="F3010" s="273">
        <f t="shared" si="340"/>
        <v>0.13370526113999703</v>
      </c>
      <c r="G3010" s="273">
        <f t="shared" si="340"/>
        <v>0</v>
      </c>
      <c r="H3010" s="273">
        <f t="shared" si="340"/>
        <v>0.47617889503954314</v>
      </c>
      <c r="I3010" s="273">
        <f t="shared" si="340"/>
        <v>5.3400058266837504E-2</v>
      </c>
      <c r="J3010" s="273">
        <f t="shared" si="340"/>
        <v>0</v>
      </c>
      <c r="K3010" s="273">
        <f t="shared" ref="K3010:S3010" si="341">B2195*K$2942*B$624*(1-K$2910)*100/(24*$F$14)</f>
        <v>0.98828061210625229</v>
      </c>
      <c r="L3010" s="273">
        <f t="shared" si="341"/>
        <v>1.806448782814907</v>
      </c>
      <c r="M3010" s="273">
        <f t="shared" si="341"/>
        <v>0.25586404942807728</v>
      </c>
      <c r="N3010" s="273">
        <f t="shared" si="341"/>
        <v>0.46111082227109779</v>
      </c>
      <c r="O3010" s="273">
        <f t="shared" si="341"/>
        <v>0.46343767984347906</v>
      </c>
      <c r="P3010" s="273">
        <f t="shared" si="341"/>
        <v>0</v>
      </c>
      <c r="Q3010" s="273">
        <f t="shared" si="341"/>
        <v>1.6504903429079998</v>
      </c>
      <c r="R3010" s="273">
        <f t="shared" si="341"/>
        <v>0.70334462386603336</v>
      </c>
      <c r="S3010" s="273">
        <f t="shared" si="341"/>
        <v>0</v>
      </c>
      <c r="T3010" s="265"/>
    </row>
    <row r="3011" spans="1:20">
      <c r="A3011" s="285" t="s">
        <v>73</v>
      </c>
      <c r="B3011" s="273">
        <f t="shared" ref="B3011:J3011" si="342">B2196*B$2942*B$625*(1-B$2911)*100/(24*$F$14)</f>
        <v>0</v>
      </c>
      <c r="C3011" s="273">
        <f t="shared" si="342"/>
        <v>2.4938612352087692</v>
      </c>
      <c r="D3011" s="273">
        <f t="shared" si="342"/>
        <v>0.11656544892909307</v>
      </c>
      <c r="E3011" s="273">
        <f t="shared" si="342"/>
        <v>0.21007089555659766</v>
      </c>
      <c r="F3011" s="273">
        <f t="shared" si="342"/>
        <v>0</v>
      </c>
      <c r="G3011" s="273">
        <f t="shared" si="342"/>
        <v>0</v>
      </c>
      <c r="H3011" s="273">
        <f t="shared" si="342"/>
        <v>0</v>
      </c>
      <c r="I3011" s="273">
        <f t="shared" si="342"/>
        <v>0</v>
      </c>
      <c r="J3011" s="273">
        <f t="shared" si="342"/>
        <v>0</v>
      </c>
      <c r="K3011" s="273">
        <f t="shared" ref="K3011:S3011" si="343">B2196*K$2942*B$625*(1-K$2911)*100/(24*$F$14)</f>
        <v>0.89851090616610396</v>
      </c>
      <c r="L3011" s="273">
        <f t="shared" si="343"/>
        <v>1.6423614031347329</v>
      </c>
      <c r="M3011" s="273">
        <f t="shared" si="343"/>
        <v>0.23262283615681592</v>
      </c>
      <c r="N3011" s="273">
        <f t="shared" si="343"/>
        <v>0.41922617694462833</v>
      </c>
      <c r="O3011" s="273">
        <f t="shared" si="343"/>
        <v>0.42134167620695223</v>
      </c>
      <c r="P3011" s="273">
        <f t="shared" si="343"/>
        <v>0</v>
      </c>
      <c r="Q3011" s="273">
        <f t="shared" si="343"/>
        <v>1.5005693276367051</v>
      </c>
      <c r="R3011" s="273">
        <f t="shared" si="343"/>
        <v>0</v>
      </c>
      <c r="S3011" s="273">
        <f t="shared" si="343"/>
        <v>0</v>
      </c>
      <c r="T3011" s="265"/>
    </row>
    <row r="3012" spans="1:20">
      <c r="A3012" s="285" t="s">
        <v>93</v>
      </c>
      <c r="B3012" s="273">
        <f t="shared" ref="B3012:J3012" si="344">B2197*B$2942*B$626*(1-B$2912)*100/(24*$F$14)</f>
        <v>0</v>
      </c>
      <c r="C3012" s="273">
        <f t="shared" si="344"/>
        <v>0.17664994723892818</v>
      </c>
      <c r="D3012" s="273">
        <f t="shared" si="344"/>
        <v>2.5020565909085898E-2</v>
      </c>
      <c r="E3012" s="273">
        <f t="shared" si="344"/>
        <v>6.3184485263484275E-2</v>
      </c>
      <c r="F3012" s="273">
        <f t="shared" si="344"/>
        <v>1.2065632098145868E-2</v>
      </c>
      <c r="G3012" s="273">
        <f t="shared" si="344"/>
        <v>0</v>
      </c>
      <c r="H3012" s="273">
        <f t="shared" si="344"/>
        <v>4.2970630410967763E-2</v>
      </c>
      <c r="I3012" s="273">
        <f t="shared" si="344"/>
        <v>4.8188489486033726E-3</v>
      </c>
      <c r="J3012" s="273">
        <f t="shared" si="344"/>
        <v>1.0349615152362093E-2</v>
      </c>
      <c r="K3012" s="273">
        <f t="shared" ref="K3012:S3012" si="345">B2197*K$2942*B$626*(1-K$2912)*100/(24*$F$14)</f>
        <v>5.3724649560882437E-2</v>
      </c>
      <c r="L3012" s="273">
        <f t="shared" si="345"/>
        <v>0.11633488307809373</v>
      </c>
      <c r="M3012" s="273">
        <f t="shared" si="345"/>
        <v>1.6477585502158606E-2</v>
      </c>
      <c r="N3012" s="273">
        <f t="shared" si="345"/>
        <v>4.161087971079306E-2</v>
      </c>
      <c r="O3012" s="273">
        <f t="shared" si="345"/>
        <v>4.1820856544716907E-2</v>
      </c>
      <c r="P3012" s="273">
        <f t="shared" si="345"/>
        <v>0</v>
      </c>
      <c r="Q3012" s="273">
        <f t="shared" si="345"/>
        <v>0.14894110440590089</v>
      </c>
      <c r="R3012" s="273">
        <f t="shared" si="345"/>
        <v>6.347018357707486E-2</v>
      </c>
      <c r="S3012" s="273">
        <f t="shared" si="345"/>
        <v>0.13631719538809817</v>
      </c>
      <c r="T3012" s="265"/>
    </row>
    <row r="3013" spans="1:20">
      <c r="A3013" s="285" t="s">
        <v>94</v>
      </c>
      <c r="B3013" s="273">
        <f t="shared" ref="B3013:J3013" si="346">B2198*B$2942*B$627*(1-B$2913)*100/(24*$F$14)</f>
        <v>0</v>
      </c>
      <c r="C3013" s="273">
        <f t="shared" si="346"/>
        <v>0.29490153994501445</v>
      </c>
      <c r="D3013" s="273">
        <f t="shared" si="346"/>
        <v>4.1769632724006529E-2</v>
      </c>
      <c r="E3013" s="273">
        <f t="shared" si="346"/>
        <v>8.0598951324264714E-2</v>
      </c>
      <c r="F3013" s="273">
        <f t="shared" si="346"/>
        <v>1.5391077257646997E-2</v>
      </c>
      <c r="G3013" s="273">
        <f t="shared" si="346"/>
        <v>0</v>
      </c>
      <c r="H3013" s="273">
        <f t="shared" si="346"/>
        <v>5.4813895126690666E-2</v>
      </c>
      <c r="I3013" s="273">
        <f t="shared" si="346"/>
        <v>6.1469864038273501E-3</v>
      </c>
      <c r="J3013" s="273">
        <f t="shared" si="346"/>
        <v>1.3202103719157605E-2</v>
      </c>
      <c r="K3013" s="273">
        <f t="shared" ref="K3013:S3013" si="347">B2198*K$2942*B$627*(1-K$2913)*100/(24*$F$14)</f>
        <v>9.5272409013318765E-2</v>
      </c>
      <c r="L3013" s="273">
        <f t="shared" si="347"/>
        <v>0.19421084866020713</v>
      </c>
      <c r="M3013" s="273">
        <f t="shared" si="347"/>
        <v>2.750787880275905E-2</v>
      </c>
      <c r="N3013" s="273">
        <f t="shared" si="347"/>
        <v>5.3079379445515169E-2</v>
      </c>
      <c r="O3013" s="273">
        <f t="shared" si="347"/>
        <v>5.3347228626308169E-2</v>
      </c>
      <c r="P3013" s="273">
        <f t="shared" si="347"/>
        <v>0</v>
      </c>
      <c r="Q3013" s="273">
        <f t="shared" si="347"/>
        <v>0.18999121024937898</v>
      </c>
      <c r="R3013" s="273">
        <f t="shared" si="347"/>
        <v>8.0963391809527607E-2</v>
      </c>
      <c r="S3013" s="273">
        <f t="shared" si="347"/>
        <v>0.1738879876907892</v>
      </c>
      <c r="T3013" s="265"/>
    </row>
    <row r="3014" spans="1:20">
      <c r="A3014" s="285" t="s">
        <v>95</v>
      </c>
      <c r="B3014" s="273">
        <f t="shared" ref="B3014:J3014" si="348">B2199*B$2942*B$628*(1-B$2914)*100/(24*$F$14)</f>
        <v>0</v>
      </c>
      <c r="C3014" s="273">
        <f t="shared" si="348"/>
        <v>0.51430257872314444</v>
      </c>
      <c r="D3014" s="273">
        <f t="shared" si="348"/>
        <v>7.2845431143834127E-2</v>
      </c>
      <c r="E3014" s="273">
        <f t="shared" si="348"/>
        <v>0.13619001678822223</v>
      </c>
      <c r="F3014" s="273">
        <f t="shared" si="348"/>
        <v>2.6006679189592943E-2</v>
      </c>
      <c r="G3014" s="273">
        <f t="shared" si="348"/>
        <v>0</v>
      </c>
      <c r="H3014" s="273">
        <f t="shared" si="348"/>
        <v>9.262037749720009E-2</v>
      </c>
      <c r="I3014" s="273">
        <f t="shared" si="348"/>
        <v>1.0386713074791455E-2</v>
      </c>
      <c r="J3014" s="273">
        <f t="shared" si="348"/>
        <v>2.2307917133043764E-2</v>
      </c>
      <c r="K3014" s="273">
        <f t="shared" ref="K3014:S3014" si="349">B2199*K$2942*B$628*(1-K$2914)*100/(24*$F$14)</f>
        <v>0.17167154183732136</v>
      </c>
      <c r="L3014" s="273">
        <f t="shared" si="349"/>
        <v>0.33869996169086958</v>
      </c>
      <c r="M3014" s="273">
        <f t="shared" si="349"/>
        <v>4.797320829894796E-2</v>
      </c>
      <c r="N3014" s="273">
        <f t="shared" si="349"/>
        <v>8.9689523982886335E-2</v>
      </c>
      <c r="O3014" s="273">
        <f t="shared" si="349"/>
        <v>9.0142115286241525E-2</v>
      </c>
      <c r="P3014" s="273">
        <f t="shared" si="349"/>
        <v>0</v>
      </c>
      <c r="Q3014" s="273">
        <f t="shared" si="349"/>
        <v>0.32103278874408653</v>
      </c>
      <c r="R3014" s="273">
        <f t="shared" si="349"/>
        <v>0.1368058207781101</v>
      </c>
      <c r="S3014" s="273">
        <f t="shared" si="349"/>
        <v>0.29382278024440295</v>
      </c>
      <c r="T3014" s="265"/>
    </row>
    <row r="3015" spans="1:20">
      <c r="A3015" s="285" t="s">
        <v>96</v>
      </c>
      <c r="B3015" s="273">
        <f t="shared" ref="B3015:J3015" si="350">B2200*B$2942*B$629*(1-B$2915)*100/(24*$F$14)</f>
        <v>0</v>
      </c>
      <c r="C3015" s="273">
        <f t="shared" si="350"/>
        <v>6.2906964833405271E-2</v>
      </c>
      <c r="D3015" s="273">
        <f t="shared" si="350"/>
        <v>8.9100952723517781E-3</v>
      </c>
      <c r="E3015" s="273">
        <f t="shared" si="350"/>
        <v>4.610169120855033E-2</v>
      </c>
      <c r="F3015" s="273">
        <f t="shared" si="350"/>
        <v>8.8035226195972687E-3</v>
      </c>
      <c r="G3015" s="273">
        <f t="shared" si="350"/>
        <v>0</v>
      </c>
      <c r="H3015" s="273">
        <f t="shared" si="350"/>
        <v>3.1352929852671484E-2</v>
      </c>
      <c r="I3015" s="273">
        <f t="shared" si="350"/>
        <v>3.5160069007881853E-3</v>
      </c>
      <c r="J3015" s="273">
        <f t="shared" si="350"/>
        <v>7.551454441574402E-3</v>
      </c>
      <c r="K3015" s="273">
        <f t="shared" ref="K3015:S3015" si="351">B2200*K$2942*B$629*(1-K$2915)*100/(24*$F$14)</f>
        <v>1.3770806195681728E-2</v>
      </c>
      <c r="L3015" s="273">
        <f t="shared" si="351"/>
        <v>4.1428115394756458E-2</v>
      </c>
      <c r="M3015" s="273">
        <f t="shared" si="351"/>
        <v>5.8678471628509782E-3</v>
      </c>
      <c r="N3015" s="273">
        <f t="shared" si="351"/>
        <v>3.0360806443916071E-2</v>
      </c>
      <c r="O3015" s="273">
        <f t="shared" si="351"/>
        <v>3.0514013154679619E-2</v>
      </c>
      <c r="P3015" s="273">
        <f t="shared" si="351"/>
        <v>0</v>
      </c>
      <c r="Q3015" s="273">
        <f t="shared" si="351"/>
        <v>0.10867282965031233</v>
      </c>
      <c r="R3015" s="273">
        <f t="shared" si="351"/>
        <v>4.6310147056169107E-2</v>
      </c>
      <c r="S3015" s="273">
        <f t="shared" si="351"/>
        <v>9.9461967949743657E-2</v>
      </c>
      <c r="T3015" s="265"/>
    </row>
    <row r="3016" spans="1:20">
      <c r="A3016" s="285" t="s">
        <v>97</v>
      </c>
      <c r="B3016" s="273">
        <f t="shared" ref="B3016:J3016" si="352">B2201*B$2942*B$630*(1-B$2916)*100/(24*$F$14)</f>
        <v>0</v>
      </c>
      <c r="C3016" s="273">
        <f t="shared" si="352"/>
        <v>8.2107530642108042</v>
      </c>
      <c r="D3016" s="273">
        <f t="shared" si="352"/>
        <v>1.1629648998901219</v>
      </c>
      <c r="E3016" s="273">
        <f t="shared" si="352"/>
        <v>1.9506767155298081</v>
      </c>
      <c r="F3016" s="273">
        <f t="shared" si="352"/>
        <v>0.37249884198398731</v>
      </c>
      <c r="G3016" s="273">
        <f t="shared" si="352"/>
        <v>0</v>
      </c>
      <c r="H3016" s="273">
        <f t="shared" si="352"/>
        <v>1.3266201005637432</v>
      </c>
      <c r="I3016" s="273">
        <f t="shared" si="352"/>
        <v>0.14877095857467362</v>
      </c>
      <c r="J3016" s="273">
        <f t="shared" si="352"/>
        <v>0.31952073690588007</v>
      </c>
      <c r="K3016" s="273">
        <f t="shared" ref="K3016:S3016" si="353">B2201*K$2942*B$630*(1-K$2916)*100/(24*$F$14)</f>
        <v>2.8557100747402528</v>
      </c>
      <c r="L3016" s="273">
        <f t="shared" si="353"/>
        <v>5.407287195031599</v>
      </c>
      <c r="M3016" s="273">
        <f t="shared" si="353"/>
        <v>0.76588409884806263</v>
      </c>
      <c r="N3016" s="273">
        <f t="shared" si="353"/>
        <v>1.2846409023682479</v>
      </c>
      <c r="O3016" s="273">
        <f t="shared" si="353"/>
        <v>1.2911234576827035</v>
      </c>
      <c r="P3016" s="273">
        <f t="shared" si="353"/>
        <v>0</v>
      </c>
      <c r="Q3016" s="273">
        <f t="shared" si="353"/>
        <v>4.5982165263881978</v>
      </c>
      <c r="R3016" s="273">
        <f t="shared" si="353"/>
        <v>1.9594969986367015</v>
      </c>
      <c r="S3016" s="273">
        <f t="shared" si="353"/>
        <v>4.2084821592044559</v>
      </c>
      <c r="T3016" s="265"/>
    </row>
    <row r="3017" spans="1:20">
      <c r="A3017" s="285" t="s">
        <v>64</v>
      </c>
      <c r="B3017" s="273">
        <f t="shared" ref="B3017:J3017" si="354">B2202*B$2942*B$635*(1-B$2921)*100/(24*$F$14)</f>
        <v>0</v>
      </c>
      <c r="C3017" s="273">
        <f t="shared" si="354"/>
        <v>-2.4413850848875729</v>
      </c>
      <c r="D3017" s="273">
        <f t="shared" si="354"/>
        <v>-0.34579595058281215</v>
      </c>
      <c r="E3017" s="273">
        <f t="shared" si="354"/>
        <v>-0.62318350494205499</v>
      </c>
      <c r="F3017" s="273">
        <f t="shared" si="354"/>
        <v>-0.11900236060970745</v>
      </c>
      <c r="G3017" s="273">
        <f t="shared" si="354"/>
        <v>0</v>
      </c>
      <c r="H3017" s="273">
        <f t="shared" si="354"/>
        <v>-0.42381587754347799</v>
      </c>
      <c r="I3017" s="273">
        <f t="shared" si="354"/>
        <v>-4.7527920264826509E-2</v>
      </c>
      <c r="J3017" s="273">
        <f t="shared" si="354"/>
        <v>0</v>
      </c>
      <c r="K3017" s="273">
        <f t="shared" ref="K3017:S3017" si="355">B2202*K$2942*B$635*(1-K$2921)*100/(24*$F$14)</f>
        <v>-0.87960432358984464</v>
      </c>
      <c r="L3017" s="273">
        <f t="shared" si="355"/>
        <v>-1.607802622294862</v>
      </c>
      <c r="M3017" s="273">
        <f t="shared" si="355"/>
        <v>-0.22772795638324814</v>
      </c>
      <c r="N3017" s="273">
        <f t="shared" si="355"/>
        <v>-0.41040476556482264</v>
      </c>
      <c r="O3017" s="273">
        <f t="shared" si="355"/>
        <v>-0.41247575021834371</v>
      </c>
      <c r="P3017" s="273">
        <f t="shared" si="355"/>
        <v>0</v>
      </c>
      <c r="Q3017" s="273">
        <f t="shared" si="355"/>
        <v>-1.4689941539691742</v>
      </c>
      <c r="R3017" s="273">
        <f t="shared" si="355"/>
        <v>-0.62600132446969614</v>
      </c>
      <c r="S3017" s="273">
        <f t="shared" si="355"/>
        <v>0</v>
      </c>
      <c r="T3017" s="265"/>
    </row>
    <row r="3018" spans="1:20">
      <c r="A3018" s="285" t="s">
        <v>1517</v>
      </c>
      <c r="B3018" s="273">
        <f t="shared" ref="B3018:J3018" si="356">B2203*B$2942*B$636*(1-B$2922)*100/(24*$F$14)</f>
        <v>0</v>
      </c>
      <c r="C3018" s="273">
        <f t="shared" si="356"/>
        <v>-2.4413850848875729</v>
      </c>
      <c r="D3018" s="273">
        <f t="shared" si="356"/>
        <v>-0.34579595058281215</v>
      </c>
      <c r="E3018" s="273">
        <f t="shared" si="356"/>
        <v>-0.62318350494205499</v>
      </c>
      <c r="F3018" s="273">
        <f t="shared" si="356"/>
        <v>-0.11900236060970745</v>
      </c>
      <c r="G3018" s="273">
        <f t="shared" si="356"/>
        <v>0</v>
      </c>
      <c r="H3018" s="273">
        <f t="shared" si="356"/>
        <v>-0.42381587754347799</v>
      </c>
      <c r="I3018" s="273">
        <f t="shared" si="356"/>
        <v>-4.7527920264826509E-2</v>
      </c>
      <c r="J3018" s="273">
        <f t="shared" si="356"/>
        <v>0</v>
      </c>
      <c r="K3018" s="273">
        <f t="shared" ref="K3018:S3018" si="357">B2203*K$2942*B$636*(1-K$2922)*100/(24*$F$14)</f>
        <v>-0.87960432358984464</v>
      </c>
      <c r="L3018" s="273">
        <f t="shared" si="357"/>
        <v>-1.607802622294862</v>
      </c>
      <c r="M3018" s="273">
        <f t="shared" si="357"/>
        <v>-0.22772795638324814</v>
      </c>
      <c r="N3018" s="273">
        <f t="shared" si="357"/>
        <v>-0.41040476556482264</v>
      </c>
      <c r="O3018" s="273">
        <f t="shared" si="357"/>
        <v>-0.41247575021834371</v>
      </c>
      <c r="P3018" s="273">
        <f t="shared" si="357"/>
        <v>0</v>
      </c>
      <c r="Q3018" s="273">
        <f t="shared" si="357"/>
        <v>-1.4689941539691742</v>
      </c>
      <c r="R3018" s="273">
        <f t="shared" si="357"/>
        <v>-0.62600132446969614</v>
      </c>
      <c r="S3018" s="273">
        <f t="shared" si="357"/>
        <v>0</v>
      </c>
      <c r="T3018" s="265"/>
    </row>
    <row r="3019" spans="1:20">
      <c r="A3019" s="285" t="s">
        <v>66</v>
      </c>
      <c r="B3019" s="273">
        <f t="shared" ref="B3019:J3019" si="358">B2204*B$2942*B$639*(1-B$2925)*100/(24*$F$14)</f>
        <v>0</v>
      </c>
      <c r="C3019" s="273">
        <f t="shared" si="358"/>
        <v>-2.411499956729815</v>
      </c>
      <c r="D3019" s="273">
        <f t="shared" si="358"/>
        <v>-0.34156304346645</v>
      </c>
      <c r="E3019" s="273">
        <f t="shared" si="358"/>
        <v>-0.6155550816235551</v>
      </c>
      <c r="F3019" s="273">
        <f t="shared" si="358"/>
        <v>-0.11754564621429671</v>
      </c>
      <c r="G3019" s="273">
        <f t="shared" si="358"/>
        <v>0</v>
      </c>
      <c r="H3019" s="273">
        <f t="shared" si="358"/>
        <v>-0.41862792424021511</v>
      </c>
      <c r="I3019" s="273">
        <f t="shared" si="358"/>
        <v>0</v>
      </c>
      <c r="J3019" s="273">
        <f t="shared" si="358"/>
        <v>0</v>
      </c>
      <c r="K3019" s="273">
        <f t="shared" ref="K3019:S3019" si="359">B2204*K$2942*B$639*(1-K$2925)*100/(24*$F$14)</f>
        <v>-0.86883703902612708</v>
      </c>
      <c r="L3019" s="273">
        <f t="shared" si="359"/>
        <v>-1.5881214225869211</v>
      </c>
      <c r="M3019" s="273">
        <f t="shared" si="359"/>
        <v>-0.22494032603204075</v>
      </c>
      <c r="N3019" s="273">
        <f t="shared" si="359"/>
        <v>-0.40538097841572401</v>
      </c>
      <c r="O3019" s="273">
        <f t="shared" si="359"/>
        <v>-0.40742661203299668</v>
      </c>
      <c r="P3019" s="273">
        <f t="shared" si="359"/>
        <v>0</v>
      </c>
      <c r="Q3019" s="273">
        <f t="shared" si="359"/>
        <v>-1.4510121163028848</v>
      </c>
      <c r="R3019" s="273">
        <f t="shared" si="359"/>
        <v>0</v>
      </c>
      <c r="S3019" s="273">
        <f t="shared" si="359"/>
        <v>0</v>
      </c>
      <c r="T3019" s="265"/>
    </row>
    <row r="3020" spans="1:20">
      <c r="A3020" s="285" t="s">
        <v>1519</v>
      </c>
      <c r="B3020" s="273">
        <f t="shared" ref="B3020:J3020" si="360">B2205*B$2942*B$640*(1-B$2926)*100/(24*$F$14)</f>
        <v>0</v>
      </c>
      <c r="C3020" s="273">
        <f t="shared" si="360"/>
        <v>-2.411499956729815</v>
      </c>
      <c r="D3020" s="273">
        <f t="shared" si="360"/>
        <v>-0.34156304346645</v>
      </c>
      <c r="E3020" s="273">
        <f t="shared" si="360"/>
        <v>-0.6155550816235551</v>
      </c>
      <c r="F3020" s="273">
        <f t="shared" si="360"/>
        <v>-0.11754564621429671</v>
      </c>
      <c r="G3020" s="273">
        <f t="shared" si="360"/>
        <v>0</v>
      </c>
      <c r="H3020" s="273">
        <f t="shared" si="360"/>
        <v>-0.41862792424021511</v>
      </c>
      <c r="I3020" s="273">
        <f t="shared" si="360"/>
        <v>0</v>
      </c>
      <c r="J3020" s="273">
        <f t="shared" si="360"/>
        <v>0</v>
      </c>
      <c r="K3020" s="273">
        <f t="shared" ref="K3020:S3020" si="361">B2205*K$2942*B$640*(1-K$2926)*100/(24*$F$14)</f>
        <v>-0.86883703902612708</v>
      </c>
      <c r="L3020" s="273">
        <f t="shared" si="361"/>
        <v>-1.5881214225869211</v>
      </c>
      <c r="M3020" s="273">
        <f t="shared" si="361"/>
        <v>-0.22494032603204075</v>
      </c>
      <c r="N3020" s="273">
        <f t="shared" si="361"/>
        <v>-0.40538097841572401</v>
      </c>
      <c r="O3020" s="273">
        <f t="shared" si="361"/>
        <v>-0.40742661203299668</v>
      </c>
      <c r="P3020" s="273">
        <f t="shared" si="361"/>
        <v>0</v>
      </c>
      <c r="Q3020" s="273">
        <f t="shared" si="361"/>
        <v>-1.4510121163028848</v>
      </c>
      <c r="R3020" s="273">
        <f t="shared" si="361"/>
        <v>0</v>
      </c>
      <c r="S3020" s="273">
        <f t="shared" si="361"/>
        <v>0</v>
      </c>
      <c r="T3020" s="265"/>
    </row>
    <row r="3021" spans="1:20">
      <c r="A3021" s="285" t="s">
        <v>75</v>
      </c>
      <c r="B3021" s="273">
        <f t="shared" ref="B3021:J3021" si="362">B2206*B$2942*B$643*(1-B$2929)*100/(24*$F$14)</f>
        <v>0</v>
      </c>
      <c r="C3021" s="273">
        <f t="shared" si="362"/>
        <v>-2.3862125405963281</v>
      </c>
      <c r="D3021" s="273">
        <f t="shared" si="362"/>
        <v>-0.1115338464337443</v>
      </c>
      <c r="E3021" s="273">
        <f t="shared" si="362"/>
        <v>-0.2010030864245306</v>
      </c>
      <c r="F3021" s="273">
        <f t="shared" si="362"/>
        <v>0</v>
      </c>
      <c r="G3021" s="273">
        <f t="shared" si="362"/>
        <v>0</v>
      </c>
      <c r="H3021" s="273">
        <f t="shared" si="362"/>
        <v>0</v>
      </c>
      <c r="I3021" s="273">
        <f t="shared" si="362"/>
        <v>0</v>
      </c>
      <c r="J3021" s="273">
        <f t="shared" si="362"/>
        <v>0</v>
      </c>
      <c r="K3021" s="273">
        <f t="shared" ref="K3021:S3021" si="363">B2206*K$2942*B$643*(1-K$2929)*100/(24*$F$14)</f>
        <v>-0.85972625977990458</v>
      </c>
      <c r="L3021" s="273">
        <f t="shared" si="363"/>
        <v>-1.5714680997571251</v>
      </c>
      <c r="M3021" s="273">
        <f t="shared" si="363"/>
        <v>-0.22258156188871145</v>
      </c>
      <c r="N3021" s="273">
        <f t="shared" si="363"/>
        <v>-0.40113008159725605</v>
      </c>
      <c r="O3021" s="273">
        <f t="shared" si="363"/>
        <v>-0.40315426433770318</v>
      </c>
      <c r="P3021" s="273">
        <f t="shared" si="363"/>
        <v>0</v>
      </c>
      <c r="Q3021" s="273">
        <f t="shared" si="363"/>
        <v>0</v>
      </c>
      <c r="R3021" s="273">
        <f t="shared" si="363"/>
        <v>0</v>
      </c>
      <c r="S3021" s="273">
        <f t="shared" si="363"/>
        <v>0</v>
      </c>
      <c r="T3021" s="265"/>
    </row>
    <row r="3022" spans="1:20">
      <c r="A3022" s="285" t="s">
        <v>1521</v>
      </c>
      <c r="B3022" s="273">
        <f t="shared" ref="B3022:J3022" si="364">B2207*B$2942*B$644*(1-B$2930)*100/(24*$F$14)</f>
        <v>0</v>
      </c>
      <c r="C3022" s="273">
        <f t="shared" si="364"/>
        <v>-2.3862125405963281</v>
      </c>
      <c r="D3022" s="273">
        <f t="shared" si="364"/>
        <v>-0.1115338464337443</v>
      </c>
      <c r="E3022" s="273">
        <f t="shared" si="364"/>
        <v>-0.2010030864245306</v>
      </c>
      <c r="F3022" s="273">
        <f t="shared" si="364"/>
        <v>0</v>
      </c>
      <c r="G3022" s="273">
        <f t="shared" si="364"/>
        <v>0</v>
      </c>
      <c r="H3022" s="273">
        <f t="shared" si="364"/>
        <v>0</v>
      </c>
      <c r="I3022" s="273">
        <f t="shared" si="364"/>
        <v>0</v>
      </c>
      <c r="J3022" s="273">
        <f t="shared" si="364"/>
        <v>0</v>
      </c>
      <c r="K3022" s="273">
        <f t="shared" ref="K3022:S3022" si="365">B2207*K$2942*B$644*(1-K$2930)*100/(24*$F$14)</f>
        <v>-0.85972625977990458</v>
      </c>
      <c r="L3022" s="273">
        <f t="shared" si="365"/>
        <v>-1.5714680997571251</v>
      </c>
      <c r="M3022" s="273">
        <f t="shared" si="365"/>
        <v>-0.22258156188871145</v>
      </c>
      <c r="N3022" s="273">
        <f t="shared" si="365"/>
        <v>-0.40113008159725605</v>
      </c>
      <c r="O3022" s="273">
        <f t="shared" si="365"/>
        <v>-0.40315426433770318</v>
      </c>
      <c r="P3022" s="273">
        <f t="shared" si="365"/>
        <v>0</v>
      </c>
      <c r="Q3022" s="273">
        <f t="shared" si="365"/>
        <v>0</v>
      </c>
      <c r="R3022" s="273">
        <f t="shared" si="365"/>
        <v>0</v>
      </c>
      <c r="S3022" s="273">
        <f t="shared" si="365"/>
        <v>0</v>
      </c>
      <c r="T3022" s="265"/>
    </row>
    <row r="3024" spans="1:20" ht="21" customHeight="1">
      <c r="A3024" s="1" t="s">
        <v>1151</v>
      </c>
    </row>
    <row r="3025" spans="1:20">
      <c r="A3025" s="264" t="s">
        <v>217</v>
      </c>
    </row>
    <row r="3026" spans="1:20">
      <c r="A3026" s="269" t="s">
        <v>1369</v>
      </c>
    </row>
    <row r="3027" spans="1:20">
      <c r="A3027" s="269" t="s">
        <v>663</v>
      </c>
    </row>
    <row r="3028" spans="1:20">
      <c r="A3028" s="269" t="s">
        <v>491</v>
      </c>
    </row>
    <row r="3029" spans="1:20">
      <c r="A3029" s="269" t="s">
        <v>661</v>
      </c>
    </row>
    <row r="3030" spans="1:20">
      <c r="A3030" s="269" t="s">
        <v>480</v>
      </c>
    </row>
    <row r="3031" spans="1:20">
      <c r="A3031" s="264" t="s">
        <v>1149</v>
      </c>
    </row>
    <row r="3033" spans="1:20" ht="30">
      <c r="B3033" s="284" t="s">
        <v>22</v>
      </c>
      <c r="C3033" s="284" t="s">
        <v>182</v>
      </c>
      <c r="D3033" s="284" t="s">
        <v>183</v>
      </c>
      <c r="E3033" s="284" t="s">
        <v>184</v>
      </c>
      <c r="F3033" s="284" t="s">
        <v>185</v>
      </c>
      <c r="G3033" s="284" t="s">
        <v>186</v>
      </c>
      <c r="H3033" s="284" t="s">
        <v>187</v>
      </c>
      <c r="I3033" s="284" t="s">
        <v>188</v>
      </c>
      <c r="J3033" s="284" t="s">
        <v>189</v>
      </c>
      <c r="K3033" s="284" t="s">
        <v>170</v>
      </c>
      <c r="L3033" s="284" t="s">
        <v>567</v>
      </c>
      <c r="M3033" s="284" t="s">
        <v>568</v>
      </c>
      <c r="N3033" s="284" t="s">
        <v>569</v>
      </c>
      <c r="O3033" s="284" t="s">
        <v>570</v>
      </c>
      <c r="P3033" s="284" t="s">
        <v>571</v>
      </c>
      <c r="Q3033" s="284" t="s">
        <v>572</v>
      </c>
      <c r="R3033" s="284" t="s">
        <v>573</v>
      </c>
      <c r="S3033" s="284" t="s">
        <v>574</v>
      </c>
    </row>
    <row r="3034" spans="1:20">
      <c r="A3034" s="285" t="s">
        <v>55</v>
      </c>
      <c r="B3034" s="273">
        <f t="shared" ref="B3034:J3034" si="366">B2216*B$2942*B$613*(1-B$2899)*100/(24*$F$14)</f>
        <v>0</v>
      </c>
      <c r="C3034" s="273">
        <f t="shared" si="366"/>
        <v>3.2431504585552801E-2</v>
      </c>
      <c r="D3034" s="273">
        <f t="shared" si="366"/>
        <v>4.5935739619333759E-3</v>
      </c>
      <c r="E3034" s="273">
        <f t="shared" si="366"/>
        <v>1.6368138725240927E-2</v>
      </c>
      <c r="F3034" s="273">
        <f t="shared" si="366"/>
        <v>3.1256397700577024E-3</v>
      </c>
      <c r="G3034" s="273">
        <f t="shared" si="366"/>
        <v>0</v>
      </c>
      <c r="H3034" s="273">
        <f t="shared" si="366"/>
        <v>1.1131676340240093E-2</v>
      </c>
      <c r="I3034" s="273">
        <f t="shared" si="366"/>
        <v>1.2483379069688385E-3</v>
      </c>
      <c r="J3034" s="273">
        <f t="shared" si="366"/>
        <v>2.6811002077533818E-3</v>
      </c>
      <c r="K3034" s="273">
        <f t="shared" ref="K3034:S3034" si="367">B2216*K$2942*B$613*(1-K$2899)*100/(24*$F$14)</f>
        <v>0</v>
      </c>
      <c r="L3034" s="273">
        <f t="shared" si="367"/>
        <v>2.1358145603654684E-2</v>
      </c>
      <c r="M3034" s="273">
        <f t="shared" si="367"/>
        <v>3.0251517089291921E-3</v>
      </c>
      <c r="N3034" s="273">
        <f t="shared" si="367"/>
        <v>1.0779428664257748E-2</v>
      </c>
      <c r="O3034" s="273">
        <f t="shared" si="367"/>
        <v>1.083382382048036E-2</v>
      </c>
      <c r="P3034" s="273">
        <f t="shared" si="367"/>
        <v>0</v>
      </c>
      <c r="Q3034" s="273">
        <f t="shared" si="367"/>
        <v>3.8583659400566295E-2</v>
      </c>
      <c r="R3034" s="273">
        <f t="shared" si="367"/>
        <v>1.6442149767839705E-2</v>
      </c>
      <c r="S3034" s="273">
        <f t="shared" si="367"/>
        <v>3.5313396246620332E-2</v>
      </c>
      <c r="T3034" s="265"/>
    </row>
    <row r="3035" spans="1:20">
      <c r="A3035" s="285" t="s">
        <v>57</v>
      </c>
      <c r="B3035" s="273">
        <f t="shared" ref="B3035:J3035" si="368">B2217*B$2942*B$616*(1-B$2902)*100/(24*$F$14)</f>
        <v>0</v>
      </c>
      <c r="C3035" s="273">
        <f t="shared" si="368"/>
        <v>3.0990227752351746E-2</v>
      </c>
      <c r="D3035" s="273">
        <f t="shared" si="368"/>
        <v>4.3894325933001299E-3</v>
      </c>
      <c r="E3035" s="273">
        <f t="shared" si="368"/>
        <v>1.5879112402178455E-2</v>
      </c>
      <c r="F3035" s="273">
        <f t="shared" si="368"/>
        <v>3.032255900967441E-3</v>
      </c>
      <c r="G3035" s="273">
        <f t="shared" si="368"/>
        <v>0</v>
      </c>
      <c r="H3035" s="273">
        <f t="shared" si="368"/>
        <v>1.0799098345785872E-2</v>
      </c>
      <c r="I3035" s="273">
        <f t="shared" si="368"/>
        <v>1.2110416629161731E-3</v>
      </c>
      <c r="J3035" s="273">
        <f t="shared" si="368"/>
        <v>2.6009977233861282E-3</v>
      </c>
      <c r="K3035" s="273">
        <f t="shared" ref="K3035:S3035" si="369">B2217*K$2942*B$616*(1-K$2902)*100/(24*$F$14)</f>
        <v>0</v>
      </c>
      <c r="L3035" s="273">
        <f t="shared" si="369"/>
        <v>2.0408975935085089E-2</v>
      </c>
      <c r="M3035" s="273">
        <f t="shared" si="369"/>
        <v>2.8907120296507746E-3</v>
      </c>
      <c r="N3035" s="273">
        <f t="shared" si="369"/>
        <v>1.0457374675537137E-2</v>
      </c>
      <c r="O3035" s="273">
        <f t="shared" si="369"/>
        <v>1.0510144682823361E-2</v>
      </c>
      <c r="P3035" s="273">
        <f t="shared" si="369"/>
        <v>0</v>
      </c>
      <c r="Q3035" s="273">
        <f t="shared" si="369"/>
        <v>3.7430906152094795E-2</v>
      </c>
      <c r="R3035" s="273">
        <f t="shared" si="369"/>
        <v>1.5950912237465541E-2</v>
      </c>
      <c r="S3035" s="273">
        <f t="shared" si="369"/>
        <v>3.4258347739809819E-2</v>
      </c>
      <c r="T3035" s="265"/>
    </row>
    <row r="3036" spans="1:20">
      <c r="A3036" s="285" t="s">
        <v>58</v>
      </c>
      <c r="B3036" s="273">
        <f t="shared" ref="B3036:J3036" si="370">B2218*B$2942*B$618*(1-B$2904)*100/(24*$F$14)</f>
        <v>0</v>
      </c>
      <c r="C3036" s="273">
        <f t="shared" si="370"/>
        <v>2.6790330495659598E-2</v>
      </c>
      <c r="D3036" s="273">
        <f t="shared" si="370"/>
        <v>3.7945622988849082E-3</v>
      </c>
      <c r="E3036" s="273">
        <f t="shared" si="370"/>
        <v>1.2724665294283637E-2</v>
      </c>
      <c r="F3036" s="273">
        <f t="shared" si="370"/>
        <v>2.4298865357948942E-3</v>
      </c>
      <c r="G3036" s="273">
        <f t="shared" si="370"/>
        <v>0</v>
      </c>
      <c r="H3036" s="273">
        <f t="shared" si="370"/>
        <v>8.6538156825015835E-3</v>
      </c>
      <c r="I3036" s="273">
        <f t="shared" si="370"/>
        <v>9.7046355159793797E-4</v>
      </c>
      <c r="J3036" s="273">
        <f t="shared" si="370"/>
        <v>2.08429946353561E-3</v>
      </c>
      <c r="K3036" s="273">
        <f t="shared" ref="K3036:S3036" si="371">B2218*K$2942*B$618*(1-K$2904)*100/(24*$F$14)</f>
        <v>0</v>
      </c>
      <c r="L3036" s="273">
        <f t="shared" si="371"/>
        <v>1.7643084611967754E-2</v>
      </c>
      <c r="M3036" s="273">
        <f t="shared" si="371"/>
        <v>2.4989532591042775E-3</v>
      </c>
      <c r="N3036" s="273">
        <f t="shared" si="371"/>
        <v>8.3799767413241938E-3</v>
      </c>
      <c r="O3036" s="273">
        <f t="shared" si="371"/>
        <v>8.4222637825193923E-3</v>
      </c>
      <c r="P3036" s="273">
        <f t="shared" si="371"/>
        <v>0</v>
      </c>
      <c r="Q3036" s="273">
        <f t="shared" si="371"/>
        <v>2.9995111841503524E-2</v>
      </c>
      <c r="R3036" s="273">
        <f t="shared" si="371"/>
        <v>1.2782201814529411E-2</v>
      </c>
      <c r="S3036" s="273">
        <f t="shared" si="371"/>
        <v>2.7452794431032154E-2</v>
      </c>
      <c r="T3036" s="265"/>
    </row>
    <row r="3037" spans="1:20">
      <c r="A3037" s="285" t="s">
        <v>59</v>
      </c>
      <c r="B3037" s="273">
        <f t="shared" ref="B3037:J3037" si="372">B2219*B$2942*B$619*(1-B$2905)*100/(24*$F$14)</f>
        <v>0</v>
      </c>
      <c r="C3037" s="273">
        <f t="shared" si="372"/>
        <v>2.6538639214304698E-2</v>
      </c>
      <c r="D3037" s="273">
        <f t="shared" si="372"/>
        <v>3.7589129347480187E-3</v>
      </c>
      <c r="E3037" s="273">
        <f t="shared" si="372"/>
        <v>1.2605118903721214E-2</v>
      </c>
      <c r="F3037" s="273">
        <f t="shared" si="372"/>
        <v>2.4070581031318365E-3</v>
      </c>
      <c r="G3037" s="273">
        <f t="shared" si="372"/>
        <v>0</v>
      </c>
      <c r="H3037" s="273">
        <f t="shared" si="372"/>
        <v>8.5725143354319442E-3</v>
      </c>
      <c r="I3037" s="273">
        <f t="shared" si="372"/>
        <v>9.613461868513744E-4</v>
      </c>
      <c r="J3037" s="273">
        <f t="shared" si="372"/>
        <v>0</v>
      </c>
      <c r="K3037" s="273">
        <f t="shared" ref="K3037:S3037" si="373">B2219*K$2942*B$619*(1-K$2905)*100/(24*$F$14)</f>
        <v>0</v>
      </c>
      <c r="L3037" s="273">
        <f t="shared" si="373"/>
        <v>1.7477330383076903E-2</v>
      </c>
      <c r="M3037" s="273">
        <f t="shared" si="373"/>
        <v>2.4754759545621823E-3</v>
      </c>
      <c r="N3037" s="273">
        <f t="shared" si="373"/>
        <v>8.3012480715121562E-3</v>
      </c>
      <c r="O3037" s="273">
        <f t="shared" si="373"/>
        <v>8.3431378320696671E-3</v>
      </c>
      <c r="P3037" s="273">
        <f t="shared" si="373"/>
        <v>0</v>
      </c>
      <c r="Q3037" s="273">
        <f t="shared" si="373"/>
        <v>2.9713312102788297E-2</v>
      </c>
      <c r="R3037" s="273">
        <f t="shared" si="373"/>
        <v>1.2662114876678565E-2</v>
      </c>
      <c r="S3037" s="273">
        <f t="shared" si="373"/>
        <v>0</v>
      </c>
      <c r="T3037" s="265"/>
    </row>
    <row r="3038" spans="1:20">
      <c r="A3038" s="285" t="s">
        <v>72</v>
      </c>
      <c r="B3038" s="273">
        <f t="shared" ref="B3038:J3038" si="374">B2220*B$2942*B$620*(1-B$2906)*100/(24*$F$14)</f>
        <v>0</v>
      </c>
      <c r="C3038" s="273">
        <f t="shared" si="374"/>
        <v>2.7421172282789254E-2</v>
      </c>
      <c r="D3038" s="273">
        <f t="shared" si="374"/>
        <v>1.2816917044856169E-3</v>
      </c>
      <c r="E3038" s="273">
        <f t="shared" si="374"/>
        <v>4.2980182338374197E-3</v>
      </c>
      <c r="F3038" s="273">
        <f t="shared" si="374"/>
        <v>0</v>
      </c>
      <c r="G3038" s="273">
        <f t="shared" si="374"/>
        <v>0</v>
      </c>
      <c r="H3038" s="273">
        <f t="shared" si="374"/>
        <v>0</v>
      </c>
      <c r="I3038" s="273">
        <f t="shared" si="374"/>
        <v>0</v>
      </c>
      <c r="J3038" s="273">
        <f t="shared" si="374"/>
        <v>0</v>
      </c>
      <c r="K3038" s="273">
        <f t="shared" ref="K3038:S3038" si="375">B2220*K$2942*B$620*(1-K$2906)*100/(24*$F$14)</f>
        <v>0</v>
      </c>
      <c r="L3038" s="273">
        <f t="shared" si="375"/>
        <v>1.8058532828588169E-2</v>
      </c>
      <c r="M3038" s="273">
        <f t="shared" si="375"/>
        <v>2.5577970326136111E-3</v>
      </c>
      <c r="N3038" s="273">
        <f t="shared" si="375"/>
        <v>8.5773031425217579E-3</v>
      </c>
      <c r="O3038" s="273">
        <f t="shared" si="375"/>
        <v>8.6205859322630342E-3</v>
      </c>
      <c r="P3038" s="273">
        <f t="shared" si="375"/>
        <v>0</v>
      </c>
      <c r="Q3038" s="273">
        <f t="shared" si="375"/>
        <v>3.0701417796270059E-2</v>
      </c>
      <c r="R3038" s="273">
        <f t="shared" si="375"/>
        <v>0</v>
      </c>
      <c r="S3038" s="273">
        <f t="shared" si="375"/>
        <v>0</v>
      </c>
      <c r="T3038" s="265"/>
    </row>
    <row r="3039" spans="1:20">
      <c r="A3039" s="285" t="s">
        <v>1178</v>
      </c>
      <c r="B3039" s="273">
        <f t="shared" ref="B3039:J3039" si="376">B2221*B$2942*B$621*(1-B$2907)*100/(24*$F$14)</f>
        <v>0</v>
      </c>
      <c r="C3039" s="273">
        <f t="shared" si="376"/>
        <v>5.8551910565526E-2</v>
      </c>
      <c r="D3039" s="273">
        <f t="shared" si="376"/>
        <v>8.2932486553542826E-3</v>
      </c>
      <c r="E3039" s="273">
        <f t="shared" si="376"/>
        <v>7.2025735664782778E-2</v>
      </c>
      <c r="F3039" s="273">
        <f t="shared" si="376"/>
        <v>1.3753946471283642E-2</v>
      </c>
      <c r="G3039" s="273">
        <f t="shared" si="376"/>
        <v>0</v>
      </c>
      <c r="H3039" s="273">
        <f t="shared" si="376"/>
        <v>4.8983405568995025E-2</v>
      </c>
      <c r="I3039" s="273">
        <f t="shared" si="376"/>
        <v>5.4931386895575281E-3</v>
      </c>
      <c r="J3039" s="273">
        <f t="shared" si="376"/>
        <v>1.1797811473619272E-2</v>
      </c>
      <c r="K3039" s="273">
        <f t="shared" ref="K3039:S3039" si="377">B2221*K$2942*B$621*(1-K$2907)*100/(24*$F$14)</f>
        <v>0</v>
      </c>
      <c r="L3039" s="273">
        <f t="shared" si="377"/>
        <v>3.8560043612276822E-2</v>
      </c>
      <c r="M3039" s="273">
        <f t="shared" si="377"/>
        <v>5.4616156287511626E-3</v>
      </c>
      <c r="N3039" s="273">
        <f t="shared" si="377"/>
        <v>4.7433388280852515E-2</v>
      </c>
      <c r="O3039" s="273">
        <f t="shared" si="377"/>
        <v>4.7672746659303489E-2</v>
      </c>
      <c r="P3039" s="273">
        <f t="shared" si="377"/>
        <v>0</v>
      </c>
      <c r="Q3039" s="273">
        <f t="shared" si="377"/>
        <v>0.16978206866488385</v>
      </c>
      <c r="R3039" s="273">
        <f t="shared" si="377"/>
        <v>7.2351411044248762E-2</v>
      </c>
      <c r="S3039" s="273">
        <f t="shared" si="377"/>
        <v>0.15539172695076059</v>
      </c>
      <c r="T3039" s="265"/>
    </row>
    <row r="3040" spans="1:20">
      <c r="A3040" s="285" t="s">
        <v>1177</v>
      </c>
      <c r="B3040" s="273">
        <f t="shared" ref="B3040:J3040" si="378">B2222*B$2942*B$622*(1-B$2908)*100/(24*$F$14)</f>
        <v>0</v>
      </c>
      <c r="C3040" s="273">
        <f t="shared" si="378"/>
        <v>5.9699522497980453E-2</v>
      </c>
      <c r="D3040" s="273">
        <f t="shared" si="378"/>
        <v>8.4557955479111924E-3</v>
      </c>
      <c r="E3040" s="273">
        <f t="shared" si="378"/>
        <v>7.3462732618221893E-2</v>
      </c>
      <c r="F3040" s="273">
        <f t="shared" si="378"/>
        <v>1.4028353653585608E-2</v>
      </c>
      <c r="G3040" s="273">
        <f t="shared" si="378"/>
        <v>0</v>
      </c>
      <c r="H3040" s="273">
        <f t="shared" si="378"/>
        <v>4.9960681315254926E-2</v>
      </c>
      <c r="I3040" s="273">
        <f t="shared" si="378"/>
        <v>5.6027331767065482E-3</v>
      </c>
      <c r="J3040" s="273">
        <f t="shared" si="378"/>
        <v>1.2033191494223897E-2</v>
      </c>
      <c r="K3040" s="273">
        <f t="shared" ref="K3040:S3040" si="379">B2222*K$2942*B$622*(1-K$2908)*100/(24*$F$14)</f>
        <v>0</v>
      </c>
      <c r="L3040" s="273">
        <f t="shared" si="379"/>
        <v>3.9315816835353637E-2</v>
      </c>
      <c r="M3040" s="273">
        <f t="shared" si="379"/>
        <v>5.5686627806800513E-3</v>
      </c>
      <c r="N3040" s="273">
        <f t="shared" si="379"/>
        <v>4.8379739384687301E-2</v>
      </c>
      <c r="O3040" s="273">
        <f t="shared" si="379"/>
        <v>4.8623873240367897E-2</v>
      </c>
      <c r="P3040" s="273">
        <f t="shared" si="379"/>
        <v>0</v>
      </c>
      <c r="Q3040" s="273">
        <f t="shared" si="379"/>
        <v>0.17316941782790424</v>
      </c>
      <c r="R3040" s="273">
        <f t="shared" si="379"/>
        <v>7.3794905599188013E-2</v>
      </c>
      <c r="S3040" s="273">
        <f t="shared" si="379"/>
        <v>0.15849197210836843</v>
      </c>
      <c r="T3040" s="265"/>
    </row>
    <row r="3041" spans="1:20">
      <c r="A3041" s="285" t="s">
        <v>60</v>
      </c>
      <c r="B3041" s="273">
        <f t="shared" ref="B3041:J3041" si="380">B2223*B$2942*B$623*(1-B$2909)*100/(24*$F$14)</f>
        <v>0</v>
      </c>
      <c r="C3041" s="273">
        <f t="shared" si="380"/>
        <v>4.7124447871486785E-2</v>
      </c>
      <c r="D3041" s="273">
        <f t="shared" si="380"/>
        <v>6.6746714184015626E-3</v>
      </c>
      <c r="E3041" s="273">
        <f t="shared" si="380"/>
        <v>5.797271883124553E-2</v>
      </c>
      <c r="F3041" s="273">
        <f t="shared" si="380"/>
        <v>1.1070399548721263E-2</v>
      </c>
      <c r="G3041" s="273">
        <f t="shared" si="380"/>
        <v>0</v>
      </c>
      <c r="H3041" s="273">
        <f t="shared" si="380"/>
        <v>3.9426201929606906E-2</v>
      </c>
      <c r="I3041" s="273">
        <f t="shared" si="380"/>
        <v>4.4213666380704987E-3</v>
      </c>
      <c r="J3041" s="273">
        <f t="shared" si="380"/>
        <v>9.4959281022462764E-3</v>
      </c>
      <c r="K3041" s="273">
        <f t="shared" ref="K3041:S3041" si="381">B2223*K$2942*B$623*(1-K$2909)*100/(24*$F$14)</f>
        <v>0</v>
      </c>
      <c r="L3041" s="273">
        <f t="shared" si="381"/>
        <v>3.103435477302554E-2</v>
      </c>
      <c r="M3041" s="273">
        <f t="shared" si="381"/>
        <v>4.3956827113805323E-3</v>
      </c>
      <c r="N3041" s="273">
        <f t="shared" si="381"/>
        <v>3.8178610140371043E-2</v>
      </c>
      <c r="O3041" s="273">
        <f t="shared" si="381"/>
        <v>3.8371267054538825E-2</v>
      </c>
      <c r="P3041" s="273">
        <f t="shared" si="381"/>
        <v>0</v>
      </c>
      <c r="Q3041" s="273">
        <f t="shared" si="381"/>
        <v>0.13665571116282493</v>
      </c>
      <c r="R3041" s="273">
        <f t="shared" si="381"/>
        <v>5.823485134582216E-2</v>
      </c>
      <c r="S3041" s="273">
        <f t="shared" si="381"/>
        <v>0.12507308411461113</v>
      </c>
      <c r="T3041" s="265"/>
    </row>
    <row r="3042" spans="1:20">
      <c r="A3042" s="285" t="s">
        <v>61</v>
      </c>
      <c r="B3042" s="273">
        <f t="shared" ref="B3042:J3042" si="382">B2224*B$2942*B$624*(1-B$2910)*100/(24*$F$14)</f>
        <v>0</v>
      </c>
      <c r="C3042" s="273">
        <f t="shared" si="382"/>
        <v>4.4395192110966646E-2</v>
      </c>
      <c r="D3042" s="273">
        <f t="shared" si="382"/>
        <v>6.2881016814376189E-3</v>
      </c>
      <c r="E3042" s="273">
        <f t="shared" si="382"/>
        <v>5.4615175475943419E-2</v>
      </c>
      <c r="F3042" s="273">
        <f t="shared" si="382"/>
        <v>1.0429247172315631E-2</v>
      </c>
      <c r="G3042" s="273">
        <f t="shared" si="382"/>
        <v>0</v>
      </c>
      <c r="H3042" s="273">
        <f t="shared" si="382"/>
        <v>3.7142797166430534E-2</v>
      </c>
      <c r="I3042" s="273">
        <f t="shared" si="382"/>
        <v>4.1652991208608863E-3</v>
      </c>
      <c r="J3042" s="273">
        <f t="shared" si="382"/>
        <v>0</v>
      </c>
      <c r="K3042" s="273">
        <f t="shared" ref="K3042:S3042" si="383">B2224*K$2942*B$624*(1-K$2910)*100/(24*$F$14)</f>
        <v>0</v>
      </c>
      <c r="L3042" s="273">
        <f t="shared" si="383"/>
        <v>2.9236971559766605E-2</v>
      </c>
      <c r="M3042" s="273">
        <f t="shared" si="383"/>
        <v>4.1411027024184956E-3</v>
      </c>
      <c r="N3042" s="273">
        <f t="shared" si="383"/>
        <v>3.5967460803652616E-2</v>
      </c>
      <c r="O3042" s="273">
        <f t="shared" si="383"/>
        <v>3.6148959815361134E-2</v>
      </c>
      <c r="P3042" s="273">
        <f t="shared" si="383"/>
        <v>0</v>
      </c>
      <c r="Q3042" s="273">
        <f t="shared" si="383"/>
        <v>0.1287411699056788</v>
      </c>
      <c r="R3042" s="273">
        <f t="shared" si="383"/>
        <v>5.4862126344734433E-2</v>
      </c>
      <c r="S3042" s="273">
        <f t="shared" si="383"/>
        <v>0</v>
      </c>
      <c r="T3042" s="265"/>
    </row>
    <row r="3043" spans="1:20">
      <c r="A3043" s="285" t="s">
        <v>73</v>
      </c>
      <c r="B3043" s="273">
        <f t="shared" ref="B3043:J3043" si="384">B2225*B$2942*B$625*(1-B$2911)*100/(24*$F$14)</f>
        <v>0</v>
      </c>
      <c r="C3043" s="273">
        <f t="shared" si="384"/>
        <v>4.0362589131470582E-2</v>
      </c>
      <c r="D3043" s="273">
        <f t="shared" si="384"/>
        <v>1.8865858515405894E-3</v>
      </c>
      <c r="E3043" s="273">
        <f t="shared" si="384"/>
        <v>1.6385901906847782E-2</v>
      </c>
      <c r="F3043" s="273">
        <f t="shared" si="384"/>
        <v>0</v>
      </c>
      <c r="G3043" s="273">
        <f t="shared" si="384"/>
        <v>0</v>
      </c>
      <c r="H3043" s="273">
        <f t="shared" si="384"/>
        <v>0</v>
      </c>
      <c r="I3043" s="273">
        <f t="shared" si="384"/>
        <v>0</v>
      </c>
      <c r="J3043" s="273">
        <f t="shared" si="384"/>
        <v>0</v>
      </c>
      <c r="K3043" s="273">
        <f t="shared" ref="K3043:S3043" si="385">B2225*K$2942*B$625*(1-K$2911)*100/(24*$F$14)</f>
        <v>0</v>
      </c>
      <c r="L3043" s="273">
        <f t="shared" si="385"/>
        <v>2.6581253834102522E-2</v>
      </c>
      <c r="M3043" s="273">
        <f t="shared" si="385"/>
        <v>3.7649488375037657E-3</v>
      </c>
      <c r="N3043" s="273">
        <f t="shared" si="385"/>
        <v>3.2700384286916719E-2</v>
      </c>
      <c r="O3043" s="273">
        <f t="shared" si="385"/>
        <v>3.2865396976107207E-2</v>
      </c>
      <c r="P3043" s="273">
        <f t="shared" si="385"/>
        <v>0</v>
      </c>
      <c r="Q3043" s="273">
        <f t="shared" si="385"/>
        <v>0.11704706519164142</v>
      </c>
      <c r="R3043" s="273">
        <f t="shared" si="385"/>
        <v>0</v>
      </c>
      <c r="S3043" s="273">
        <f t="shared" si="385"/>
        <v>0</v>
      </c>
      <c r="T3043" s="265"/>
    </row>
    <row r="3044" spans="1:20">
      <c r="A3044" s="285" t="s">
        <v>97</v>
      </c>
      <c r="B3044" s="273">
        <f t="shared" ref="B3044:J3044" si="386">B2226*B$2942*B$630*(1-B$2916)*100/(24*$F$14)</f>
        <v>0</v>
      </c>
      <c r="C3044" s="273">
        <f t="shared" si="386"/>
        <v>5.2144814301400916E-2</v>
      </c>
      <c r="D3044" s="273">
        <f t="shared" si="386"/>
        <v>7.3857523505545253E-3</v>
      </c>
      <c r="E3044" s="273">
        <f t="shared" si="386"/>
        <v>5.4781029381924383E-2</v>
      </c>
      <c r="F3044" s="273">
        <f t="shared" si="386"/>
        <v>1.046091843153792E-2</v>
      </c>
      <c r="G3044" s="273">
        <f t="shared" si="386"/>
        <v>0</v>
      </c>
      <c r="H3044" s="273">
        <f t="shared" si="386"/>
        <v>3.7255591420690945E-2</v>
      </c>
      <c r="I3044" s="273">
        <f t="shared" si="386"/>
        <v>4.1779481899658303E-3</v>
      </c>
      <c r="J3044" s="273">
        <f t="shared" si="386"/>
        <v>8.9731295489530218E-3</v>
      </c>
      <c r="K3044" s="273">
        <f t="shared" ref="K3044:S3044" si="387">B2226*K$2942*B$630*(1-K$2916)*100/(24*$F$14)</f>
        <v>9.6863900528393991E-3</v>
      </c>
      <c r="L3044" s="273">
        <f t="shared" si="387"/>
        <v>3.4340575639558245E-2</v>
      </c>
      <c r="M3044" s="273">
        <f t="shared" si="387"/>
        <v>4.8639733528104377E-3</v>
      </c>
      <c r="N3044" s="273">
        <f t="shared" si="387"/>
        <v>3.6076685827842639E-2</v>
      </c>
      <c r="O3044" s="273">
        <f t="shared" si="387"/>
        <v>3.625873601090164E-2</v>
      </c>
      <c r="P3044" s="273">
        <f t="shared" si="387"/>
        <v>0</v>
      </c>
      <c r="Q3044" s="273">
        <f t="shared" si="387"/>
        <v>0.1291321276514581</v>
      </c>
      <c r="R3044" s="273">
        <f t="shared" si="387"/>
        <v>5.502873018451708E-2</v>
      </c>
      <c r="S3044" s="273">
        <f t="shared" si="387"/>
        <v>0.11818718241790638</v>
      </c>
      <c r="T3044" s="265"/>
    </row>
    <row r="3045" spans="1:20">
      <c r="A3045" s="285" t="s">
        <v>64</v>
      </c>
      <c r="B3045" s="273">
        <f t="shared" ref="B3045:J3045" si="388">B2227*B$2942*B$635*(1-B$2921)*100/(24*$F$14)</f>
        <v>0</v>
      </c>
      <c r="C3045" s="273">
        <f t="shared" si="388"/>
        <v>-3.9513274316070109E-2</v>
      </c>
      <c r="D3045" s="273">
        <f t="shared" si="388"/>
        <v>-5.596630510009892E-3</v>
      </c>
      <c r="E3045" s="273">
        <f t="shared" si="388"/>
        <v>-4.8609417096500754E-2</v>
      </c>
      <c r="F3045" s="273">
        <f t="shared" si="388"/>
        <v>-9.2823948908649784E-3</v>
      </c>
      <c r="G3045" s="273">
        <f t="shared" si="388"/>
        <v>0</v>
      </c>
      <c r="H3045" s="273">
        <f t="shared" si="388"/>
        <v>-3.305838906237734E-2</v>
      </c>
      <c r="I3045" s="273">
        <f t="shared" si="388"/>
        <v>-3.7072619566479053E-3</v>
      </c>
      <c r="J3045" s="273">
        <f t="shared" si="388"/>
        <v>0</v>
      </c>
      <c r="K3045" s="273">
        <f t="shared" ref="K3045:S3045" si="389">B2227*K$2942*B$635*(1-K$2921)*100/(24*$F$14)</f>
        <v>0</v>
      </c>
      <c r="L3045" s="273">
        <f t="shared" si="389"/>
        <v>-2.6021927656594706E-2</v>
      </c>
      <c r="M3045" s="273">
        <f t="shared" si="389"/>
        <v>-3.685726297628999E-3</v>
      </c>
      <c r="N3045" s="273">
        <f t="shared" si="389"/>
        <v>-3.2012298575821621E-2</v>
      </c>
      <c r="O3045" s="273">
        <f t="shared" si="389"/>
        <v>-3.2173839046686324E-2</v>
      </c>
      <c r="P3045" s="273">
        <f t="shared" si="389"/>
        <v>0</v>
      </c>
      <c r="Q3045" s="273">
        <f t="shared" si="389"/>
        <v>-0.11458414572325437</v>
      </c>
      <c r="R3045" s="273">
        <f t="shared" si="389"/>
        <v>-4.8829212010254947E-2</v>
      </c>
      <c r="S3045" s="273">
        <f t="shared" si="389"/>
        <v>0</v>
      </c>
      <c r="T3045" s="265"/>
    </row>
    <row r="3046" spans="1:20">
      <c r="A3046" s="285" t="s">
        <v>1517</v>
      </c>
      <c r="B3046" s="273">
        <f t="shared" ref="B3046:J3046" si="390">B2228*B$2942*B$636*(1-B$2922)*100/(24*$F$14)</f>
        <v>0</v>
      </c>
      <c r="C3046" s="273">
        <f t="shared" si="390"/>
        <v>-3.9513274316070109E-2</v>
      </c>
      <c r="D3046" s="273">
        <f t="shared" si="390"/>
        <v>-5.596630510009892E-3</v>
      </c>
      <c r="E3046" s="273">
        <f t="shared" si="390"/>
        <v>-4.8609417096500754E-2</v>
      </c>
      <c r="F3046" s="273">
        <f t="shared" si="390"/>
        <v>-9.2823948908649784E-3</v>
      </c>
      <c r="G3046" s="273">
        <f t="shared" si="390"/>
        <v>0</v>
      </c>
      <c r="H3046" s="273">
        <f t="shared" si="390"/>
        <v>-3.305838906237734E-2</v>
      </c>
      <c r="I3046" s="273">
        <f t="shared" si="390"/>
        <v>-3.7072619566479053E-3</v>
      </c>
      <c r="J3046" s="273">
        <f t="shared" si="390"/>
        <v>0</v>
      </c>
      <c r="K3046" s="273">
        <f t="shared" ref="K3046:S3046" si="391">B2228*K$2942*B$636*(1-K$2922)*100/(24*$F$14)</f>
        <v>0</v>
      </c>
      <c r="L3046" s="273">
        <f t="shared" si="391"/>
        <v>-2.6021927656594706E-2</v>
      </c>
      <c r="M3046" s="273">
        <f t="shared" si="391"/>
        <v>-3.685726297628999E-3</v>
      </c>
      <c r="N3046" s="273">
        <f t="shared" si="391"/>
        <v>-3.2012298575821621E-2</v>
      </c>
      <c r="O3046" s="273">
        <f t="shared" si="391"/>
        <v>-3.2173839046686324E-2</v>
      </c>
      <c r="P3046" s="273">
        <f t="shared" si="391"/>
        <v>0</v>
      </c>
      <c r="Q3046" s="273">
        <f t="shared" si="391"/>
        <v>-0.11458414572325437</v>
      </c>
      <c r="R3046" s="273">
        <f t="shared" si="391"/>
        <v>-4.8829212010254947E-2</v>
      </c>
      <c r="S3046" s="273">
        <f t="shared" si="391"/>
        <v>0</v>
      </c>
      <c r="T3046" s="265"/>
    </row>
    <row r="3047" spans="1:20">
      <c r="A3047" s="285" t="s">
        <v>66</v>
      </c>
      <c r="B3047" s="273">
        <f t="shared" ref="B3047:J3047" si="392">B2229*B$2942*B$639*(1-B$2925)*100/(24*$F$14)</f>
        <v>0</v>
      </c>
      <c r="C3047" s="273">
        <f t="shared" si="392"/>
        <v>-3.9029590167191659E-2</v>
      </c>
      <c r="D3047" s="273">
        <f t="shared" si="392"/>
        <v>-5.5281218502828394E-3</v>
      </c>
      <c r="E3047" s="273">
        <f t="shared" si="392"/>
        <v>-4.8014386567070896E-2</v>
      </c>
      <c r="F3047" s="273">
        <f t="shared" si="392"/>
        <v>-9.1687685880577768E-3</v>
      </c>
      <c r="G3047" s="273">
        <f t="shared" si="392"/>
        <v>0</v>
      </c>
      <c r="H3047" s="273">
        <f t="shared" si="392"/>
        <v>-3.265371951641604E-2</v>
      </c>
      <c r="I3047" s="273">
        <f t="shared" si="392"/>
        <v>0</v>
      </c>
      <c r="J3047" s="273">
        <f t="shared" si="392"/>
        <v>0</v>
      </c>
      <c r="K3047" s="273">
        <f t="shared" ref="K3047:S3047" si="393">B2229*K$2942*B$639*(1-K$2925)*100/(24*$F$14)</f>
        <v>0</v>
      </c>
      <c r="L3047" s="273">
        <f t="shared" si="393"/>
        <v>-2.570339181899044E-2</v>
      </c>
      <c r="M3047" s="273">
        <f t="shared" si="393"/>
        <v>-3.6406091207277021E-3</v>
      </c>
      <c r="N3047" s="273">
        <f t="shared" si="393"/>
        <v>-3.1620434280637363E-2</v>
      </c>
      <c r="O3047" s="273">
        <f t="shared" si="393"/>
        <v>-3.1779997325775848E-2</v>
      </c>
      <c r="P3047" s="273">
        <f t="shared" si="393"/>
        <v>0</v>
      </c>
      <c r="Q3047" s="273">
        <f t="shared" si="393"/>
        <v>-0.11318151493756481</v>
      </c>
      <c r="R3047" s="273">
        <f t="shared" si="393"/>
        <v>0</v>
      </c>
      <c r="S3047" s="273">
        <f t="shared" si="393"/>
        <v>0</v>
      </c>
      <c r="T3047" s="265"/>
    </row>
    <row r="3048" spans="1:20">
      <c r="A3048" s="285" t="s">
        <v>1519</v>
      </c>
      <c r="B3048" s="273">
        <f t="shared" ref="B3048:J3048" si="394">B2230*B$2942*B$640*(1-B$2926)*100/(24*$F$14)</f>
        <v>0</v>
      </c>
      <c r="C3048" s="273">
        <f t="shared" si="394"/>
        <v>-3.9029590167191659E-2</v>
      </c>
      <c r="D3048" s="273">
        <f t="shared" si="394"/>
        <v>-5.5281218502828394E-3</v>
      </c>
      <c r="E3048" s="273">
        <f t="shared" si="394"/>
        <v>-4.8014386567070896E-2</v>
      </c>
      <c r="F3048" s="273">
        <f t="shared" si="394"/>
        <v>-9.1687685880577768E-3</v>
      </c>
      <c r="G3048" s="273">
        <f t="shared" si="394"/>
        <v>0</v>
      </c>
      <c r="H3048" s="273">
        <f t="shared" si="394"/>
        <v>-3.265371951641604E-2</v>
      </c>
      <c r="I3048" s="273">
        <f t="shared" si="394"/>
        <v>0</v>
      </c>
      <c r="J3048" s="273">
        <f t="shared" si="394"/>
        <v>0</v>
      </c>
      <c r="K3048" s="273">
        <f t="shared" ref="K3048:S3048" si="395">B2230*K$2942*B$640*(1-K$2926)*100/(24*$F$14)</f>
        <v>0</v>
      </c>
      <c r="L3048" s="273">
        <f t="shared" si="395"/>
        <v>-2.570339181899044E-2</v>
      </c>
      <c r="M3048" s="273">
        <f t="shared" si="395"/>
        <v>-3.6406091207277021E-3</v>
      </c>
      <c r="N3048" s="273">
        <f t="shared" si="395"/>
        <v>-3.1620434280637363E-2</v>
      </c>
      <c r="O3048" s="273">
        <f t="shared" si="395"/>
        <v>-3.1779997325775848E-2</v>
      </c>
      <c r="P3048" s="273">
        <f t="shared" si="395"/>
        <v>0</v>
      </c>
      <c r="Q3048" s="273">
        <f t="shared" si="395"/>
        <v>-0.11318151493756481</v>
      </c>
      <c r="R3048" s="273">
        <f t="shared" si="395"/>
        <v>0</v>
      </c>
      <c r="S3048" s="273">
        <f t="shared" si="395"/>
        <v>0</v>
      </c>
      <c r="T3048" s="265"/>
    </row>
    <row r="3049" spans="1:20">
      <c r="A3049" s="285" t="s">
        <v>75</v>
      </c>
      <c r="B3049" s="273">
        <f t="shared" ref="B3049:J3049" si="396">B2231*B$2942*B$643*(1-B$2929)*100/(24*$F$14)</f>
        <v>0</v>
      </c>
      <c r="C3049" s="273">
        <f t="shared" si="396"/>
        <v>-3.8620318964294513E-2</v>
      </c>
      <c r="D3049" s="273">
        <f t="shared" si="396"/>
        <v>-1.8051504848387834E-3</v>
      </c>
      <c r="E3049" s="273">
        <f t="shared" si="396"/>
        <v>-1.5678596734684903E-2</v>
      </c>
      <c r="F3049" s="273">
        <f t="shared" si="396"/>
        <v>0</v>
      </c>
      <c r="G3049" s="273">
        <f t="shared" si="396"/>
        <v>0</v>
      </c>
      <c r="H3049" s="273">
        <f t="shared" si="396"/>
        <v>0</v>
      </c>
      <c r="I3049" s="273">
        <f t="shared" si="396"/>
        <v>0</v>
      </c>
      <c r="J3049" s="273">
        <f t="shared" si="396"/>
        <v>0</v>
      </c>
      <c r="K3049" s="273">
        <f t="shared" ref="K3049:S3049" si="397">B2231*K$2942*B$643*(1-K$2929)*100/(24*$F$14)</f>
        <v>0</v>
      </c>
      <c r="L3049" s="273">
        <f t="shared" si="397"/>
        <v>-2.5433861494863753E-2</v>
      </c>
      <c r="M3049" s="273">
        <f t="shared" si="397"/>
        <v>-3.6024330479650668E-3</v>
      </c>
      <c r="N3049" s="273">
        <f t="shared" si="397"/>
        <v>-3.1288856800096847E-2</v>
      </c>
      <c r="O3049" s="273">
        <f t="shared" si="397"/>
        <v>-3.1446746638851608E-2</v>
      </c>
      <c r="P3049" s="273">
        <f t="shared" si="397"/>
        <v>0</v>
      </c>
      <c r="Q3049" s="273">
        <f t="shared" si="397"/>
        <v>0</v>
      </c>
      <c r="R3049" s="273">
        <f t="shared" si="397"/>
        <v>0</v>
      </c>
      <c r="S3049" s="273">
        <f t="shared" si="397"/>
        <v>0</v>
      </c>
      <c r="T3049" s="265"/>
    </row>
    <row r="3050" spans="1:20">
      <c r="A3050" s="285" t="s">
        <v>1521</v>
      </c>
      <c r="B3050" s="273">
        <f t="shared" ref="B3050:J3050" si="398">B2232*B$2942*B$644*(1-B$2930)*100/(24*$F$14)</f>
        <v>0</v>
      </c>
      <c r="C3050" s="273">
        <f t="shared" si="398"/>
        <v>-3.8620318964294513E-2</v>
      </c>
      <c r="D3050" s="273">
        <f t="shared" si="398"/>
        <v>-1.8051504848387834E-3</v>
      </c>
      <c r="E3050" s="273">
        <f t="shared" si="398"/>
        <v>-1.5678596734684903E-2</v>
      </c>
      <c r="F3050" s="273">
        <f t="shared" si="398"/>
        <v>0</v>
      </c>
      <c r="G3050" s="273">
        <f t="shared" si="398"/>
        <v>0</v>
      </c>
      <c r="H3050" s="273">
        <f t="shared" si="398"/>
        <v>0</v>
      </c>
      <c r="I3050" s="273">
        <f t="shared" si="398"/>
        <v>0</v>
      </c>
      <c r="J3050" s="273">
        <f t="shared" si="398"/>
        <v>0</v>
      </c>
      <c r="K3050" s="273">
        <f t="shared" ref="K3050:S3050" si="399">B2232*K$2942*B$644*(1-K$2930)*100/(24*$F$14)</f>
        <v>0</v>
      </c>
      <c r="L3050" s="273">
        <f t="shared" si="399"/>
        <v>-2.5433861494863753E-2</v>
      </c>
      <c r="M3050" s="273">
        <f t="shared" si="399"/>
        <v>-3.6024330479650668E-3</v>
      </c>
      <c r="N3050" s="273">
        <f t="shared" si="399"/>
        <v>-3.1288856800096847E-2</v>
      </c>
      <c r="O3050" s="273">
        <f t="shared" si="399"/>
        <v>-3.1446746638851608E-2</v>
      </c>
      <c r="P3050" s="273">
        <f t="shared" si="399"/>
        <v>0</v>
      </c>
      <c r="Q3050" s="273">
        <f t="shared" si="399"/>
        <v>0</v>
      </c>
      <c r="R3050" s="273">
        <f t="shared" si="399"/>
        <v>0</v>
      </c>
      <c r="S3050" s="273">
        <f t="shared" si="399"/>
        <v>0</v>
      </c>
      <c r="T3050" s="265"/>
    </row>
    <row r="3052" spans="1:20" ht="21" customHeight="1">
      <c r="A3052" s="1" t="s">
        <v>1150</v>
      </c>
    </row>
    <row r="3053" spans="1:20">
      <c r="A3053" s="264" t="s">
        <v>217</v>
      </c>
    </row>
    <row r="3054" spans="1:20">
      <c r="A3054" s="269" t="s">
        <v>1370</v>
      </c>
    </row>
    <row r="3055" spans="1:20">
      <c r="A3055" s="269" t="s">
        <v>663</v>
      </c>
    </row>
    <row r="3056" spans="1:20">
      <c r="A3056" s="269" t="s">
        <v>491</v>
      </c>
    </row>
    <row r="3057" spans="1:20">
      <c r="A3057" s="269" t="s">
        <v>661</v>
      </c>
    </row>
    <row r="3058" spans="1:20">
      <c r="A3058" s="269" t="s">
        <v>480</v>
      </c>
    </row>
    <row r="3059" spans="1:20">
      <c r="A3059" s="264" t="s">
        <v>1149</v>
      </c>
    </row>
    <row r="3061" spans="1:20" ht="30">
      <c r="B3061" s="284" t="s">
        <v>22</v>
      </c>
      <c r="C3061" s="284" t="s">
        <v>182</v>
      </c>
      <c r="D3061" s="284" t="s">
        <v>183</v>
      </c>
      <c r="E3061" s="284" t="s">
        <v>184</v>
      </c>
      <c r="F3061" s="284" t="s">
        <v>185</v>
      </c>
      <c r="G3061" s="284" t="s">
        <v>186</v>
      </c>
      <c r="H3061" s="284" t="s">
        <v>187</v>
      </c>
      <c r="I3061" s="284" t="s">
        <v>188</v>
      </c>
      <c r="J3061" s="284" t="s">
        <v>189</v>
      </c>
      <c r="K3061" s="284" t="s">
        <v>170</v>
      </c>
      <c r="L3061" s="284" t="s">
        <v>567</v>
      </c>
      <c r="M3061" s="284" t="s">
        <v>568</v>
      </c>
      <c r="N3061" s="284" t="s">
        <v>569</v>
      </c>
      <c r="O3061" s="284" t="s">
        <v>570</v>
      </c>
      <c r="P3061" s="284" t="s">
        <v>571</v>
      </c>
      <c r="Q3061" s="284" t="s">
        <v>572</v>
      </c>
      <c r="R3061" s="284" t="s">
        <v>573</v>
      </c>
      <c r="S3061" s="284" t="s">
        <v>574</v>
      </c>
    </row>
    <row r="3062" spans="1:20">
      <c r="A3062" s="285" t="s">
        <v>1178</v>
      </c>
      <c r="B3062" s="273">
        <f t="shared" ref="B3062:J3062" si="400">B2241*B$2942*B$621*(1-B$2907)*100/(24*$F$14)</f>
        <v>0</v>
      </c>
      <c r="C3062" s="273">
        <f t="shared" si="400"/>
        <v>3.0624806715915023E-2</v>
      </c>
      <c r="D3062" s="273">
        <f t="shared" si="400"/>
        <v>4.3376746320347064E-3</v>
      </c>
      <c r="E3062" s="273">
        <f t="shared" si="400"/>
        <v>1.4544905068981947E-2</v>
      </c>
      <c r="F3062" s="273">
        <f t="shared" si="400"/>
        <v>2.7774772989440609E-3</v>
      </c>
      <c r="G3062" s="273">
        <f t="shared" si="400"/>
        <v>0</v>
      </c>
      <c r="H3062" s="273">
        <f t="shared" si="400"/>
        <v>9.8917279689075561E-3</v>
      </c>
      <c r="I3062" s="273">
        <f t="shared" si="400"/>
        <v>1.1092865631004186E-3</v>
      </c>
      <c r="J3062" s="273">
        <f t="shared" si="400"/>
        <v>2.382454636828399E-3</v>
      </c>
      <c r="K3062" s="273">
        <f t="shared" ref="K3062:S3062" si="401">B2241*K$2942*B$621*(1-K$2907)*100/(24*$F$14)</f>
        <v>0</v>
      </c>
      <c r="L3062" s="273">
        <f t="shared" si="401"/>
        <v>2.0168323649519201E-2</v>
      </c>
      <c r="M3062" s="273">
        <f t="shared" si="401"/>
        <v>2.8566262205900481E-3</v>
      </c>
      <c r="N3062" s="273">
        <f t="shared" si="401"/>
        <v>9.578716874980792E-3</v>
      </c>
      <c r="O3062" s="273">
        <f t="shared" si="401"/>
        <v>9.6270529990050979E-3</v>
      </c>
      <c r="P3062" s="273">
        <f t="shared" si="401"/>
        <v>0</v>
      </c>
      <c r="Q3062" s="273">
        <f t="shared" si="401"/>
        <v>3.4285856969782577E-2</v>
      </c>
      <c r="R3062" s="273">
        <f t="shared" si="401"/>
        <v>1.4610672081757542E-2</v>
      </c>
      <c r="S3062" s="273">
        <f t="shared" si="401"/>
        <v>3.1379865768022812E-2</v>
      </c>
      <c r="T3062" s="265"/>
    </row>
    <row r="3063" spans="1:20">
      <c r="A3063" s="285" t="s">
        <v>1177</v>
      </c>
      <c r="B3063" s="273">
        <f t="shared" ref="B3063:J3063" si="402">B2242*B$2942*B$622*(1-B$2908)*100/(24*$F$14)</f>
        <v>0</v>
      </c>
      <c r="C3063" s="273">
        <f t="shared" si="402"/>
        <v>3.1225050043192332E-2</v>
      </c>
      <c r="D3063" s="273">
        <f t="shared" si="402"/>
        <v>4.4226926462847633E-3</v>
      </c>
      <c r="E3063" s="273">
        <f t="shared" si="402"/>
        <v>1.4835092792568194E-2</v>
      </c>
      <c r="F3063" s="273">
        <f t="shared" si="402"/>
        <v>2.8328911920475564E-3</v>
      </c>
      <c r="G3063" s="273">
        <f t="shared" si="402"/>
        <v>0</v>
      </c>
      <c r="H3063" s="273">
        <f t="shared" si="402"/>
        <v>1.0089079413143047E-2</v>
      </c>
      <c r="I3063" s="273">
        <f t="shared" si="402"/>
        <v>1.1314181164535856E-3</v>
      </c>
      <c r="J3063" s="273">
        <f t="shared" si="402"/>
        <v>2.4299873697221394E-3</v>
      </c>
      <c r="K3063" s="273">
        <f t="shared" ref="K3063:S3063" si="403">B2242*K$2942*B$622*(1-K$2908)*100/(24*$F$14)</f>
        <v>0</v>
      </c>
      <c r="L3063" s="273">
        <f t="shared" si="403"/>
        <v>2.0563620893524402E-2</v>
      </c>
      <c r="M3063" s="273">
        <f t="shared" si="403"/>
        <v>2.9126158254662647E-3</v>
      </c>
      <c r="N3063" s="273">
        <f t="shared" si="403"/>
        <v>9.7698233848992084E-3</v>
      </c>
      <c r="O3063" s="273">
        <f t="shared" si="403"/>
        <v>9.8191238706523184E-3</v>
      </c>
      <c r="P3063" s="273">
        <f t="shared" si="403"/>
        <v>0</v>
      </c>
      <c r="Q3063" s="273">
        <f t="shared" si="403"/>
        <v>3.4969899577010209E-2</v>
      </c>
      <c r="R3063" s="273">
        <f t="shared" si="403"/>
        <v>1.4902171933517465E-2</v>
      </c>
      <c r="S3063" s="273">
        <f t="shared" si="403"/>
        <v>3.2005930480750552E-2</v>
      </c>
      <c r="T3063" s="265"/>
    </row>
    <row r="3064" spans="1:20">
      <c r="A3064" s="285" t="s">
        <v>60</v>
      </c>
      <c r="B3064" s="273">
        <f t="shared" ref="B3064:J3064" si="404">B2243*B$2942*B$623*(1-B$2909)*100/(24*$F$14)</f>
        <v>0</v>
      </c>
      <c r="C3064" s="273">
        <f t="shared" si="404"/>
        <v>2.4647822653770152E-2</v>
      </c>
      <c r="D3064" s="273">
        <f t="shared" si="404"/>
        <v>3.4910990966218326E-3</v>
      </c>
      <c r="E3064" s="273">
        <f t="shared" si="404"/>
        <v>1.1707033384784122E-2</v>
      </c>
      <c r="F3064" s="273">
        <f t="shared" si="404"/>
        <v>2.2355607898439218E-3</v>
      </c>
      <c r="G3064" s="273">
        <f t="shared" si="404"/>
        <v>0</v>
      </c>
      <c r="H3064" s="273">
        <f t="shared" si="404"/>
        <v>7.9617425494348092E-3</v>
      </c>
      <c r="I3064" s="273">
        <f t="shared" si="404"/>
        <v>8.928524982403347E-4</v>
      </c>
      <c r="J3064" s="273">
        <f t="shared" si="404"/>
        <v>1.9176114136739448E-3</v>
      </c>
      <c r="K3064" s="273">
        <f t="shared" ref="K3064:S3064" si="405">B2243*K$2942*B$623*(1-K$2909)*100/(24*$F$14)</f>
        <v>0</v>
      </c>
      <c r="L3064" s="273">
        <f t="shared" si="405"/>
        <v>1.6232111083948599E-2</v>
      </c>
      <c r="M3064" s="273">
        <f t="shared" si="405"/>
        <v>2.2991040278671515E-3</v>
      </c>
      <c r="N3064" s="273">
        <f t="shared" si="405"/>
        <v>7.7098033783622446E-3</v>
      </c>
      <c r="O3064" s="273">
        <f t="shared" si="405"/>
        <v>7.7487085905282834E-3</v>
      </c>
      <c r="P3064" s="273">
        <f t="shared" si="405"/>
        <v>0</v>
      </c>
      <c r="Q3064" s="273">
        <f t="shared" si="405"/>
        <v>2.7596307453883744E-2</v>
      </c>
      <c r="R3064" s="273">
        <f t="shared" si="405"/>
        <v>1.1759968526713878E-2</v>
      </c>
      <c r="S3064" s="273">
        <f t="shared" si="405"/>
        <v>2.5257307243601052E-2</v>
      </c>
      <c r="T3064" s="265"/>
    </row>
    <row r="3065" spans="1:20">
      <c r="A3065" s="285" t="s">
        <v>61</v>
      </c>
      <c r="B3065" s="273">
        <f t="shared" ref="B3065:J3065" si="406">B2244*B$2942*B$624*(1-B$2910)*100/(24*$F$14)</f>
        <v>0</v>
      </c>
      <c r="C3065" s="273">
        <f t="shared" si="406"/>
        <v>2.3220321324830803E-2</v>
      </c>
      <c r="D3065" s="273">
        <f t="shared" si="406"/>
        <v>3.2889088800704181E-3</v>
      </c>
      <c r="E3065" s="273">
        <f t="shared" si="406"/>
        <v>1.102900977395777E-2</v>
      </c>
      <c r="F3065" s="273">
        <f t="shared" si="406"/>
        <v>2.1060862296259715E-3</v>
      </c>
      <c r="G3065" s="273">
        <f t="shared" si="406"/>
        <v>0</v>
      </c>
      <c r="H3065" s="273">
        <f t="shared" si="406"/>
        <v>7.5006309036054052E-3</v>
      </c>
      <c r="I3065" s="273">
        <f t="shared" si="406"/>
        <v>8.4114212423738179E-4</v>
      </c>
      <c r="J3065" s="273">
        <f t="shared" si="406"/>
        <v>0</v>
      </c>
      <c r="K3065" s="273">
        <f t="shared" ref="K3065:S3065" si="407">B2244*K$2942*B$624*(1-K$2910)*100/(24*$F$14)</f>
        <v>0</v>
      </c>
      <c r="L3065" s="273">
        <f t="shared" si="407"/>
        <v>1.5292013434378587E-2</v>
      </c>
      <c r="M3065" s="273">
        <f t="shared" si="407"/>
        <v>2.165949302549125E-3</v>
      </c>
      <c r="N3065" s="273">
        <f t="shared" si="407"/>
        <v>7.2632830214499153E-3</v>
      </c>
      <c r="O3065" s="273">
        <f t="shared" si="407"/>
        <v>7.299935002454328E-3</v>
      </c>
      <c r="P3065" s="273">
        <f t="shared" si="407"/>
        <v>0</v>
      </c>
      <c r="Q3065" s="273">
        <f t="shared" si="407"/>
        <v>2.5998041914667348E-2</v>
      </c>
      <c r="R3065" s="273">
        <f t="shared" si="407"/>
        <v>1.1078879128433854E-2</v>
      </c>
      <c r="S3065" s="273">
        <f t="shared" si="407"/>
        <v>0</v>
      </c>
      <c r="T3065" s="265"/>
    </row>
    <row r="3066" spans="1:20">
      <c r="A3066" s="285" t="s">
        <v>73</v>
      </c>
      <c r="B3066" s="273">
        <f t="shared" ref="B3066:J3066" si="408">B2245*B$2942*B$625*(1-B$2911)*100/(24*$F$14)</f>
        <v>0</v>
      </c>
      <c r="C3066" s="273">
        <f t="shared" si="408"/>
        <v>2.1111121375311084E-2</v>
      </c>
      <c r="D3066" s="273">
        <f t="shared" si="408"/>
        <v>9.8675391628343947E-4</v>
      </c>
      <c r="E3066" s="273">
        <f t="shared" si="408"/>
        <v>3.3089754030972583E-3</v>
      </c>
      <c r="F3066" s="273">
        <f t="shared" si="408"/>
        <v>0</v>
      </c>
      <c r="G3066" s="273">
        <f t="shared" si="408"/>
        <v>0</v>
      </c>
      <c r="H3066" s="273">
        <f t="shared" si="408"/>
        <v>0</v>
      </c>
      <c r="I3066" s="273">
        <f t="shared" si="408"/>
        <v>0</v>
      </c>
      <c r="J3066" s="273">
        <f t="shared" si="408"/>
        <v>0</v>
      </c>
      <c r="K3066" s="273">
        <f t="shared" ref="K3066:S3066" si="409">B2245*K$2942*B$625*(1-K$2911)*100/(24*$F$14)</f>
        <v>0</v>
      </c>
      <c r="L3066" s="273">
        <f t="shared" si="409"/>
        <v>1.3902975207359945E-2</v>
      </c>
      <c r="M3066" s="273">
        <f t="shared" si="409"/>
        <v>1.9692069708780466E-3</v>
      </c>
      <c r="N3066" s="273">
        <f t="shared" si="409"/>
        <v>6.6035283191836994E-3</v>
      </c>
      <c r="O3066" s="273">
        <f t="shared" si="409"/>
        <v>6.6368510458077422E-3</v>
      </c>
      <c r="P3066" s="273">
        <f t="shared" si="409"/>
        <v>0</v>
      </c>
      <c r="Q3066" s="273">
        <f t="shared" si="409"/>
        <v>2.3636529861197627E-2</v>
      </c>
      <c r="R3066" s="273">
        <f t="shared" si="409"/>
        <v>0</v>
      </c>
      <c r="S3066" s="273">
        <f t="shared" si="409"/>
        <v>0</v>
      </c>
      <c r="T3066" s="265"/>
    </row>
    <row r="3067" spans="1:20">
      <c r="A3067" s="285" t="s">
        <v>97</v>
      </c>
      <c r="B3067" s="273">
        <f t="shared" ref="B3067:J3067" si="410">B2246*B$2942*B$630*(1-B$2916)*100/(24*$F$14)</f>
        <v>0</v>
      </c>
      <c r="C3067" s="273">
        <f t="shared" si="410"/>
        <v>2.1200653855416786E-2</v>
      </c>
      <c r="D3067" s="273">
        <f t="shared" si="410"/>
        <v>3.0028446959438231E-3</v>
      </c>
      <c r="E3067" s="273">
        <f t="shared" si="410"/>
        <v>1.0069723640544457E-2</v>
      </c>
      <c r="F3067" s="273">
        <f t="shared" si="410"/>
        <v>1.9229021217812726E-3</v>
      </c>
      <c r="G3067" s="273">
        <f t="shared" si="410"/>
        <v>0</v>
      </c>
      <c r="H3067" s="273">
        <f t="shared" si="410"/>
        <v>6.8482376819881917E-3</v>
      </c>
      <c r="I3067" s="273">
        <f t="shared" si="410"/>
        <v>7.6798088922641833E-4</v>
      </c>
      <c r="J3067" s="273">
        <f t="shared" si="410"/>
        <v>1.6494201691393288E-3</v>
      </c>
      <c r="K3067" s="273">
        <f t="shared" ref="K3067:S3067" si="411">B2246*K$2942*B$630*(1-K$2916)*100/(24*$F$14)</f>
        <v>0</v>
      </c>
      <c r="L3067" s="273">
        <f t="shared" si="411"/>
        <v>1.3961937866379032E-2</v>
      </c>
      <c r="M3067" s="273">
        <f t="shared" si="411"/>
        <v>1.9775583976359991E-3</v>
      </c>
      <c r="N3067" s="273">
        <f t="shared" si="411"/>
        <v>6.6315339498346712E-3</v>
      </c>
      <c r="O3067" s="273">
        <f t="shared" si="411"/>
        <v>6.664997998480672E-3</v>
      </c>
      <c r="P3067" s="273">
        <f t="shared" si="411"/>
        <v>0</v>
      </c>
      <c r="Q3067" s="273">
        <f t="shared" si="411"/>
        <v>2.3736772624333862E-2</v>
      </c>
      <c r="R3067" s="273">
        <f t="shared" si="411"/>
        <v>1.0115255436054536E-2</v>
      </c>
      <c r="S3067" s="273">
        <f t="shared" si="411"/>
        <v>2.1724897801858812E-2</v>
      </c>
      <c r="T3067" s="265"/>
    </row>
    <row r="3068" spans="1:20">
      <c r="A3068" s="285" t="s">
        <v>64</v>
      </c>
      <c r="B3068" s="273">
        <f t="shared" ref="B3068:J3068" si="412">B2247*B$2942*B$635*(1-B$2921)*100/(24*$F$14)</f>
        <v>0</v>
      </c>
      <c r="C3068" s="273">
        <f t="shared" si="412"/>
        <v>-2.0666898431748987E-2</v>
      </c>
      <c r="D3068" s="273">
        <f t="shared" si="412"/>
        <v>-2.927243978446019E-3</v>
      </c>
      <c r="E3068" s="273">
        <f t="shared" si="412"/>
        <v>-9.816204591338187E-3</v>
      </c>
      <c r="F3068" s="273">
        <f t="shared" si="412"/>
        <v>-1.8744904339303885E-3</v>
      </c>
      <c r="G3068" s="273">
        <f t="shared" si="412"/>
        <v>0</v>
      </c>
      <c r="H3068" s="273">
        <f t="shared" si="412"/>
        <v>-6.6758239427584702E-3</v>
      </c>
      <c r="I3068" s="273">
        <f t="shared" si="412"/>
        <v>-7.4864592117810551E-4</v>
      </c>
      <c r="J3068" s="273">
        <f t="shared" si="412"/>
        <v>0</v>
      </c>
      <c r="K3068" s="273">
        <f t="shared" ref="K3068:S3068" si="413">B2247*K$2942*B$635*(1-K$2921)*100/(24*$F$14)</f>
        <v>0</v>
      </c>
      <c r="L3068" s="273">
        <f t="shared" si="413"/>
        <v>-1.3610427006765211E-2</v>
      </c>
      <c r="M3068" s="273">
        <f t="shared" si="413"/>
        <v>-1.9277706633728726E-3</v>
      </c>
      <c r="N3068" s="273">
        <f t="shared" si="413"/>
        <v>-6.4645760231074705E-3</v>
      </c>
      <c r="O3068" s="273">
        <f t="shared" si="413"/>
        <v>-6.4971975686125534E-3</v>
      </c>
      <c r="P3068" s="273">
        <f t="shared" si="413"/>
        <v>0</v>
      </c>
      <c r="Q3068" s="273">
        <f t="shared" si="413"/>
        <v>-2.3139166945989633E-2</v>
      </c>
      <c r="R3068" s="273">
        <f t="shared" si="413"/>
        <v>-9.8605900616939302E-3</v>
      </c>
      <c r="S3068" s="273">
        <f t="shared" si="413"/>
        <v>0</v>
      </c>
      <c r="T3068" s="265"/>
    </row>
    <row r="3069" spans="1:20">
      <c r="A3069" s="285" t="s">
        <v>1517</v>
      </c>
      <c r="B3069" s="273">
        <f t="shared" ref="B3069:J3069" si="414">B2248*B$2942*B$636*(1-B$2922)*100/(24*$F$14)</f>
        <v>0</v>
      </c>
      <c r="C3069" s="273">
        <f t="shared" si="414"/>
        <v>-2.0666898431748987E-2</v>
      </c>
      <c r="D3069" s="273">
        <f t="shared" si="414"/>
        <v>-2.927243978446019E-3</v>
      </c>
      <c r="E3069" s="273">
        <f t="shared" si="414"/>
        <v>-9.816204591338187E-3</v>
      </c>
      <c r="F3069" s="273">
        <f t="shared" si="414"/>
        <v>-1.8744904339303885E-3</v>
      </c>
      <c r="G3069" s="273">
        <f t="shared" si="414"/>
        <v>0</v>
      </c>
      <c r="H3069" s="273">
        <f t="shared" si="414"/>
        <v>-6.6758239427584702E-3</v>
      </c>
      <c r="I3069" s="273">
        <f t="shared" si="414"/>
        <v>-7.4864592117810551E-4</v>
      </c>
      <c r="J3069" s="273">
        <f t="shared" si="414"/>
        <v>0</v>
      </c>
      <c r="K3069" s="273">
        <f t="shared" ref="K3069:S3069" si="415">B2248*K$2942*B$636*(1-K$2922)*100/(24*$F$14)</f>
        <v>0</v>
      </c>
      <c r="L3069" s="273">
        <f t="shared" si="415"/>
        <v>-1.3610427006765211E-2</v>
      </c>
      <c r="M3069" s="273">
        <f t="shared" si="415"/>
        <v>-1.9277706633728726E-3</v>
      </c>
      <c r="N3069" s="273">
        <f t="shared" si="415"/>
        <v>-6.4645760231074705E-3</v>
      </c>
      <c r="O3069" s="273">
        <f t="shared" si="415"/>
        <v>-6.4971975686125534E-3</v>
      </c>
      <c r="P3069" s="273">
        <f t="shared" si="415"/>
        <v>0</v>
      </c>
      <c r="Q3069" s="273">
        <f t="shared" si="415"/>
        <v>-2.3139166945989633E-2</v>
      </c>
      <c r="R3069" s="273">
        <f t="shared" si="415"/>
        <v>-9.8605900616939302E-3</v>
      </c>
      <c r="S3069" s="273">
        <f t="shared" si="415"/>
        <v>0</v>
      </c>
      <c r="T3069" s="265"/>
    </row>
    <row r="3070" spans="1:20">
      <c r="A3070" s="285" t="s">
        <v>66</v>
      </c>
      <c r="B3070" s="273">
        <f t="shared" ref="B3070:J3070" si="416">B2249*B$2942*B$639*(1-B$2925)*100/(24*$F$14)</f>
        <v>0</v>
      </c>
      <c r="C3070" s="273">
        <f t="shared" si="416"/>
        <v>-2.041391379934528E-2</v>
      </c>
      <c r="D3070" s="273">
        <f t="shared" si="416"/>
        <v>-2.8914114250375459E-3</v>
      </c>
      <c r="E3070" s="273">
        <f t="shared" si="416"/>
        <v>-9.6960438948340468E-3</v>
      </c>
      <c r="F3070" s="273">
        <f t="shared" si="416"/>
        <v>-1.8515446941553457E-3</v>
      </c>
      <c r="G3070" s="273">
        <f t="shared" si="416"/>
        <v>0</v>
      </c>
      <c r="H3070" s="273">
        <f t="shared" si="416"/>
        <v>-6.5941048172821421E-3</v>
      </c>
      <c r="I3070" s="273">
        <f t="shared" si="416"/>
        <v>0</v>
      </c>
      <c r="J3070" s="273">
        <f t="shared" si="416"/>
        <v>0</v>
      </c>
      <c r="K3070" s="273">
        <f t="shared" ref="K3070:S3070" si="417">B2249*K$2942*B$639*(1-K$2925)*100/(24*$F$14)</f>
        <v>0</v>
      </c>
      <c r="L3070" s="273">
        <f t="shared" si="417"/>
        <v>-1.3443821026456408E-2</v>
      </c>
      <c r="M3070" s="273">
        <f t="shared" si="417"/>
        <v>-1.9041727173993814E-3</v>
      </c>
      <c r="N3070" s="273">
        <f t="shared" si="417"/>
        <v>-6.3854427949526704E-3</v>
      </c>
      <c r="O3070" s="273">
        <f t="shared" si="417"/>
        <v>-6.4176650183376356E-3</v>
      </c>
      <c r="P3070" s="273">
        <f t="shared" si="417"/>
        <v>0</v>
      </c>
      <c r="Q3070" s="273">
        <f t="shared" si="417"/>
        <v>-2.2855919139682788E-2</v>
      </c>
      <c r="R3070" s="273">
        <f t="shared" si="417"/>
        <v>0</v>
      </c>
      <c r="S3070" s="273">
        <f t="shared" si="417"/>
        <v>0</v>
      </c>
      <c r="T3070" s="265"/>
    </row>
    <row r="3071" spans="1:20">
      <c r="A3071" s="285" t="s">
        <v>1519</v>
      </c>
      <c r="B3071" s="273">
        <f t="shared" ref="B3071:J3071" si="418">B2250*B$2942*B$640*(1-B$2926)*100/(24*$F$14)</f>
        <v>0</v>
      </c>
      <c r="C3071" s="273">
        <f t="shared" si="418"/>
        <v>-2.041391379934528E-2</v>
      </c>
      <c r="D3071" s="273">
        <f t="shared" si="418"/>
        <v>-2.8914114250375459E-3</v>
      </c>
      <c r="E3071" s="273">
        <f t="shared" si="418"/>
        <v>-9.6960438948340468E-3</v>
      </c>
      <c r="F3071" s="273">
        <f t="shared" si="418"/>
        <v>-1.8515446941553457E-3</v>
      </c>
      <c r="G3071" s="273">
        <f t="shared" si="418"/>
        <v>0</v>
      </c>
      <c r="H3071" s="273">
        <f t="shared" si="418"/>
        <v>-6.5941048172821421E-3</v>
      </c>
      <c r="I3071" s="273">
        <f t="shared" si="418"/>
        <v>0</v>
      </c>
      <c r="J3071" s="273">
        <f t="shared" si="418"/>
        <v>0</v>
      </c>
      <c r="K3071" s="273">
        <f t="shared" ref="K3071:S3071" si="419">B2250*K$2942*B$640*(1-K$2926)*100/(24*$F$14)</f>
        <v>0</v>
      </c>
      <c r="L3071" s="273">
        <f t="shared" si="419"/>
        <v>-1.3443821026456408E-2</v>
      </c>
      <c r="M3071" s="273">
        <f t="shared" si="419"/>
        <v>-1.9041727173993814E-3</v>
      </c>
      <c r="N3071" s="273">
        <f t="shared" si="419"/>
        <v>-6.3854427949526704E-3</v>
      </c>
      <c r="O3071" s="273">
        <f t="shared" si="419"/>
        <v>-6.4176650183376356E-3</v>
      </c>
      <c r="P3071" s="273">
        <f t="shared" si="419"/>
        <v>0</v>
      </c>
      <c r="Q3071" s="273">
        <f t="shared" si="419"/>
        <v>-2.2855919139682788E-2</v>
      </c>
      <c r="R3071" s="273">
        <f t="shared" si="419"/>
        <v>0</v>
      </c>
      <c r="S3071" s="273">
        <f t="shared" si="419"/>
        <v>0</v>
      </c>
      <c r="T3071" s="265"/>
    </row>
    <row r="3072" spans="1:20">
      <c r="A3072" s="285" t="s">
        <v>75</v>
      </c>
      <c r="B3072" s="273">
        <f t="shared" ref="B3072:J3072" si="420">B2251*B$2942*B$643*(1-B$2929)*100/(24*$F$14)</f>
        <v>0</v>
      </c>
      <c r="C3072" s="273">
        <f t="shared" si="420"/>
        <v>-2.0199849879619067E-2</v>
      </c>
      <c r="D3072" s="273">
        <f t="shared" si="420"/>
        <v>-9.4416021881063952E-4</v>
      </c>
      <c r="E3072" s="273">
        <f t="shared" si="420"/>
        <v>-3.1661419215790799E-3</v>
      </c>
      <c r="F3072" s="273">
        <f t="shared" si="420"/>
        <v>0</v>
      </c>
      <c r="G3072" s="273">
        <f t="shared" si="420"/>
        <v>0</v>
      </c>
      <c r="H3072" s="273">
        <f t="shared" si="420"/>
        <v>0</v>
      </c>
      <c r="I3072" s="273">
        <f t="shared" si="420"/>
        <v>0</v>
      </c>
      <c r="J3072" s="273">
        <f t="shared" si="420"/>
        <v>0</v>
      </c>
      <c r="K3072" s="273">
        <f t="shared" ref="K3072:S3072" si="421">B2251*K$2942*B$643*(1-K$2929)*100/(24*$F$14)</f>
        <v>0</v>
      </c>
      <c r="L3072" s="273">
        <f t="shared" si="421"/>
        <v>-1.3302846735425884E-2</v>
      </c>
      <c r="M3072" s="273">
        <f t="shared" si="421"/>
        <v>-1.8842052246525816E-3</v>
      </c>
      <c r="N3072" s="273">
        <f t="shared" si="421"/>
        <v>-6.3184839095909179E-3</v>
      </c>
      <c r="O3072" s="273">
        <f t="shared" si="421"/>
        <v>-6.3503682450280893E-3</v>
      </c>
      <c r="P3072" s="273">
        <f t="shared" si="421"/>
        <v>0</v>
      </c>
      <c r="Q3072" s="273">
        <f t="shared" si="421"/>
        <v>0</v>
      </c>
      <c r="R3072" s="273">
        <f t="shared" si="421"/>
        <v>0</v>
      </c>
      <c r="S3072" s="273">
        <f t="shared" si="421"/>
        <v>0</v>
      </c>
      <c r="T3072" s="265"/>
    </row>
    <row r="3073" spans="1:20">
      <c r="A3073" s="285" t="s">
        <v>1521</v>
      </c>
      <c r="B3073" s="273">
        <f t="shared" ref="B3073:J3073" si="422">B2252*B$2942*B$644*(1-B$2930)*100/(24*$F$14)</f>
        <v>0</v>
      </c>
      <c r="C3073" s="273">
        <f t="shared" si="422"/>
        <v>-2.0199849879619067E-2</v>
      </c>
      <c r="D3073" s="273">
        <f t="shared" si="422"/>
        <v>-9.4416021881063952E-4</v>
      </c>
      <c r="E3073" s="273">
        <f t="shared" si="422"/>
        <v>-3.1661419215790799E-3</v>
      </c>
      <c r="F3073" s="273">
        <f t="shared" si="422"/>
        <v>0</v>
      </c>
      <c r="G3073" s="273">
        <f t="shared" si="422"/>
        <v>0</v>
      </c>
      <c r="H3073" s="273">
        <f t="shared" si="422"/>
        <v>0</v>
      </c>
      <c r="I3073" s="273">
        <f t="shared" si="422"/>
        <v>0</v>
      </c>
      <c r="J3073" s="273">
        <f t="shared" si="422"/>
        <v>0</v>
      </c>
      <c r="K3073" s="273">
        <f t="shared" ref="K3073:S3073" si="423">B2252*K$2942*B$644*(1-K$2930)*100/(24*$F$14)</f>
        <v>0</v>
      </c>
      <c r="L3073" s="273">
        <f t="shared" si="423"/>
        <v>-1.3302846735425884E-2</v>
      </c>
      <c r="M3073" s="273">
        <f t="shared" si="423"/>
        <v>-1.8842052246525816E-3</v>
      </c>
      <c r="N3073" s="273">
        <f t="shared" si="423"/>
        <v>-6.3184839095909179E-3</v>
      </c>
      <c r="O3073" s="273">
        <f t="shared" si="423"/>
        <v>-6.3503682450280893E-3</v>
      </c>
      <c r="P3073" s="273">
        <f t="shared" si="423"/>
        <v>0</v>
      </c>
      <c r="Q3073" s="273">
        <f t="shared" si="423"/>
        <v>0</v>
      </c>
      <c r="R3073" s="273">
        <f t="shared" si="423"/>
        <v>0</v>
      </c>
      <c r="S3073" s="273">
        <f t="shared" si="423"/>
        <v>0</v>
      </c>
      <c r="T3073" s="265"/>
    </row>
    <row r="3075" spans="1:20" ht="21" customHeight="1">
      <c r="A3075" s="1" t="str">
        <f>"Allocation to standing charges for "&amp;CDCM!B7&amp;" in "&amp;CDCM!C7&amp;" ("&amp;CDCM!D7&amp;")"</f>
        <v>Allocation to standing charges for 0 in 0 (0)</v>
      </c>
    </row>
    <row r="3076" spans="1:20">
      <c r="A3076" s="264" t="s">
        <v>664</v>
      </c>
    </row>
    <row r="3078" spans="1:20" ht="21" customHeight="1">
      <c r="A3078" s="1" t="s">
        <v>665</v>
      </c>
    </row>
    <row r="3079" spans="1:20">
      <c r="A3079" s="264" t="s">
        <v>217</v>
      </c>
    </row>
    <row r="3080" spans="1:20">
      <c r="A3080" s="269" t="s">
        <v>660</v>
      </c>
    </row>
    <row r="3081" spans="1:20">
      <c r="A3081" s="269" t="s">
        <v>666</v>
      </c>
    </row>
    <row r="3082" spans="1:20">
      <c r="A3082" s="264" t="s">
        <v>667</v>
      </c>
    </row>
    <row r="3084" spans="1:20" ht="30">
      <c r="B3084" s="284" t="s">
        <v>22</v>
      </c>
      <c r="C3084" s="284" t="s">
        <v>182</v>
      </c>
      <c r="D3084" s="284" t="s">
        <v>183</v>
      </c>
      <c r="E3084" s="284" t="s">
        <v>184</v>
      </c>
      <c r="F3084" s="284" t="s">
        <v>185</v>
      </c>
      <c r="G3084" s="284" t="s">
        <v>186</v>
      </c>
      <c r="H3084" s="284" t="s">
        <v>187</v>
      </c>
      <c r="I3084" s="284" t="s">
        <v>188</v>
      </c>
      <c r="J3084" s="284" t="s">
        <v>189</v>
      </c>
      <c r="K3084" s="284" t="s">
        <v>170</v>
      </c>
      <c r="L3084" s="284" t="s">
        <v>567</v>
      </c>
      <c r="M3084" s="284" t="s">
        <v>568</v>
      </c>
      <c r="N3084" s="284" t="s">
        <v>569</v>
      </c>
      <c r="O3084" s="284" t="s">
        <v>570</v>
      </c>
      <c r="P3084" s="284" t="s">
        <v>571</v>
      </c>
      <c r="Q3084" s="284" t="s">
        <v>572</v>
      </c>
      <c r="R3084" s="284" t="s">
        <v>573</v>
      </c>
      <c r="S3084" s="284" t="s">
        <v>574</v>
      </c>
    </row>
    <row r="3085" spans="1:20">
      <c r="A3085" s="285" t="s">
        <v>668</v>
      </c>
      <c r="B3085" s="273">
        <f t="shared" ref="B3085:J3085" si="424">B2942/(1+B2613)</f>
        <v>0</v>
      </c>
      <c r="C3085" s="273">
        <f t="shared" si="424"/>
        <v>13.517149855094077</v>
      </c>
      <c r="D3085" s="273">
        <f t="shared" si="424"/>
        <v>1.9222019075675665</v>
      </c>
      <c r="E3085" s="273">
        <f t="shared" si="424"/>
        <v>4.5409626101630094</v>
      </c>
      <c r="F3085" s="273">
        <f t="shared" si="424"/>
        <v>4.6044650579386452</v>
      </c>
      <c r="G3085" s="273">
        <f t="shared" si="424"/>
        <v>0</v>
      </c>
      <c r="H3085" s="273">
        <f t="shared" si="424"/>
        <v>12.168915410048207</v>
      </c>
      <c r="I3085" s="273">
        <f t="shared" si="424"/>
        <v>5.2406504275898511</v>
      </c>
      <c r="J3085" s="273">
        <f t="shared" si="424"/>
        <v>10.336334005379777</v>
      </c>
      <c r="K3085" s="273">
        <f t="shared" ref="K3085:S3085" si="425">K2942/(1+B2613)</f>
        <v>4.230409861704449</v>
      </c>
      <c r="L3085" s="273">
        <f t="shared" si="425"/>
        <v>8.9018766918426095</v>
      </c>
      <c r="M3085" s="273">
        <f t="shared" si="425"/>
        <v>1.2658884854740722</v>
      </c>
      <c r="N3085" s="273">
        <f t="shared" si="425"/>
        <v>2.9905038895980729</v>
      </c>
      <c r="O3085" s="273">
        <f t="shared" si="425"/>
        <v>3.0323241672297399</v>
      </c>
      <c r="P3085" s="273">
        <f t="shared" si="425"/>
        <v>0</v>
      </c>
      <c r="Q3085" s="273">
        <f t="shared" si="425"/>
        <v>8.0139811731752477</v>
      </c>
      <c r="R3085" s="273">
        <f t="shared" si="425"/>
        <v>3.4512914624436122</v>
      </c>
      <c r="S3085" s="273">
        <f t="shared" si="425"/>
        <v>6.8071133151575172</v>
      </c>
      <c r="T3085" s="265"/>
    </row>
    <row r="3087" spans="1:20" ht="21" customHeight="1">
      <c r="A3087" s="1" t="s">
        <v>669</v>
      </c>
    </row>
    <row r="3088" spans="1:20">
      <c r="A3088" s="264" t="s">
        <v>670</v>
      </c>
    </row>
    <row r="3089" spans="1:20">
      <c r="A3089" s="264" t="s">
        <v>217</v>
      </c>
    </row>
    <row r="3090" spans="1:20">
      <c r="A3090" s="269" t="s">
        <v>671</v>
      </c>
    </row>
    <row r="3091" spans="1:20">
      <c r="A3091" s="269" t="s">
        <v>672</v>
      </c>
    </row>
    <row r="3092" spans="1:20">
      <c r="A3092" s="269" t="s">
        <v>673</v>
      </c>
    </row>
    <row r="3093" spans="1:20">
      <c r="A3093" s="269" t="s">
        <v>674</v>
      </c>
    </row>
    <row r="3094" spans="1:20">
      <c r="A3094" s="269" t="s">
        <v>480</v>
      </c>
    </row>
    <row r="3095" spans="1:20">
      <c r="A3095" s="269" t="s">
        <v>675</v>
      </c>
    </row>
    <row r="3096" spans="1:20">
      <c r="A3096" s="264" t="s">
        <v>676</v>
      </c>
    </row>
    <row r="3098" spans="1:20" ht="30">
      <c r="B3098" s="284" t="s">
        <v>22</v>
      </c>
      <c r="C3098" s="284" t="s">
        <v>182</v>
      </c>
      <c r="D3098" s="284" t="s">
        <v>183</v>
      </c>
      <c r="E3098" s="284" t="s">
        <v>184</v>
      </c>
      <c r="F3098" s="284" t="s">
        <v>185</v>
      </c>
      <c r="G3098" s="284" t="s">
        <v>186</v>
      </c>
      <c r="H3098" s="284" t="s">
        <v>187</v>
      </c>
      <c r="I3098" s="284" t="s">
        <v>188</v>
      </c>
      <c r="J3098" s="284" t="s">
        <v>189</v>
      </c>
      <c r="K3098" s="284" t="s">
        <v>170</v>
      </c>
      <c r="L3098" s="284" t="s">
        <v>567</v>
      </c>
      <c r="M3098" s="284" t="s">
        <v>568</v>
      </c>
      <c r="N3098" s="284" t="s">
        <v>569</v>
      </c>
      <c r="O3098" s="284" t="s">
        <v>570</v>
      </c>
      <c r="P3098" s="284" t="s">
        <v>571</v>
      </c>
      <c r="Q3098" s="284" t="s">
        <v>572</v>
      </c>
      <c r="R3098" s="284" t="s">
        <v>573</v>
      </c>
      <c r="S3098" s="284" t="s">
        <v>574</v>
      </c>
    </row>
    <row r="3099" spans="1:20">
      <c r="A3099" s="285" t="s">
        <v>54</v>
      </c>
      <c r="B3099" s="273">
        <f t="shared" ref="B3099:J3099" si="426">100*B2451*B$612*B$3085*$E$14/$F$14*(1-B$2898)</f>
        <v>0</v>
      </c>
      <c r="C3099" s="273">
        <f t="shared" si="426"/>
        <v>0</v>
      </c>
      <c r="D3099" s="273">
        <f t="shared" si="426"/>
        <v>0</v>
      </c>
      <c r="E3099" s="273">
        <f t="shared" si="426"/>
        <v>0</v>
      </c>
      <c r="F3099" s="273">
        <f t="shared" si="426"/>
        <v>0</v>
      </c>
      <c r="G3099" s="273">
        <f t="shared" si="426"/>
        <v>0</v>
      </c>
      <c r="H3099" s="273">
        <f t="shared" si="426"/>
        <v>0</v>
      </c>
      <c r="I3099" s="273">
        <f t="shared" si="426"/>
        <v>0</v>
      </c>
      <c r="J3099" s="273">
        <f t="shared" si="426"/>
        <v>0.13451393568644926</v>
      </c>
      <c r="K3099" s="273">
        <f t="shared" ref="K3099:S3099" si="427">100*B2451*B$612*K$3085*$E$14/$F$14*(1-K$2898)</f>
        <v>0</v>
      </c>
      <c r="L3099" s="273">
        <f t="shared" si="427"/>
        <v>0</v>
      </c>
      <c r="M3099" s="273">
        <f t="shared" si="427"/>
        <v>0</v>
      </c>
      <c r="N3099" s="273">
        <f t="shared" si="427"/>
        <v>0</v>
      </c>
      <c r="O3099" s="273">
        <f t="shared" si="427"/>
        <v>0</v>
      </c>
      <c r="P3099" s="273">
        <f t="shared" si="427"/>
        <v>0</v>
      </c>
      <c r="Q3099" s="273">
        <f t="shared" si="427"/>
        <v>0</v>
      </c>
      <c r="R3099" s="273">
        <f t="shared" si="427"/>
        <v>0</v>
      </c>
      <c r="S3099" s="273">
        <f t="shared" si="427"/>
        <v>1.7717144244930523</v>
      </c>
      <c r="T3099" s="265"/>
    </row>
    <row r="3100" spans="1:20">
      <c r="A3100" s="285" t="s">
        <v>55</v>
      </c>
      <c r="B3100" s="273">
        <f t="shared" ref="B3100:J3100" si="428">100*B2452*B$613*B$3085*$E$14/$F$14*(1-B$2899)</f>
        <v>0</v>
      </c>
      <c r="C3100" s="273">
        <f t="shared" si="428"/>
        <v>0</v>
      </c>
      <c r="D3100" s="273">
        <f t="shared" si="428"/>
        <v>0</v>
      </c>
      <c r="E3100" s="273">
        <f t="shared" si="428"/>
        <v>0</v>
      </c>
      <c r="F3100" s="273">
        <f t="shared" si="428"/>
        <v>0</v>
      </c>
      <c r="G3100" s="273">
        <f t="shared" si="428"/>
        <v>0</v>
      </c>
      <c r="H3100" s="273">
        <f t="shared" si="428"/>
        <v>0</v>
      </c>
      <c r="I3100" s="273">
        <f t="shared" si="428"/>
        <v>0</v>
      </c>
      <c r="J3100" s="273">
        <f t="shared" si="428"/>
        <v>0.13451393568644926</v>
      </c>
      <c r="K3100" s="273">
        <f t="shared" ref="K3100:S3100" si="429">100*B2452*B$613*K$3085*$E$14/$F$14*(1-K$2899)</f>
        <v>0</v>
      </c>
      <c r="L3100" s="273">
        <f t="shared" si="429"/>
        <v>0</v>
      </c>
      <c r="M3100" s="273">
        <f t="shared" si="429"/>
        <v>0</v>
      </c>
      <c r="N3100" s="273">
        <f t="shared" si="429"/>
        <v>0</v>
      </c>
      <c r="O3100" s="273">
        <f t="shared" si="429"/>
        <v>0</v>
      </c>
      <c r="P3100" s="273">
        <f t="shared" si="429"/>
        <v>0</v>
      </c>
      <c r="Q3100" s="273">
        <f t="shared" si="429"/>
        <v>0</v>
      </c>
      <c r="R3100" s="273">
        <f t="shared" si="429"/>
        <v>0</v>
      </c>
      <c r="S3100" s="273">
        <f t="shared" si="429"/>
        <v>1.7717144244930523</v>
      </c>
      <c r="T3100" s="265"/>
    </row>
    <row r="3101" spans="1:20">
      <c r="A3101" s="285" t="s">
        <v>91</v>
      </c>
      <c r="B3101" s="273">
        <f t="shared" ref="B3101:J3101" si="430">100*B2453*B$614*B$3085*$E$14/$F$14*(1-B$2900)</f>
        <v>0</v>
      </c>
      <c r="C3101" s="273">
        <f t="shared" si="430"/>
        <v>0</v>
      </c>
      <c r="D3101" s="273">
        <f t="shared" si="430"/>
        <v>0</v>
      </c>
      <c r="E3101" s="273">
        <f t="shared" si="430"/>
        <v>0</v>
      </c>
      <c r="F3101" s="273">
        <f t="shared" si="430"/>
        <v>0</v>
      </c>
      <c r="G3101" s="273">
        <f t="shared" si="430"/>
        <v>0</v>
      </c>
      <c r="H3101" s="273">
        <f t="shared" si="430"/>
        <v>0</v>
      </c>
      <c r="I3101" s="273">
        <f t="shared" si="430"/>
        <v>0</v>
      </c>
      <c r="J3101" s="273">
        <f t="shared" si="430"/>
        <v>0.13451393568644926</v>
      </c>
      <c r="K3101" s="273">
        <f t="shared" ref="K3101:S3101" si="431">100*B2453*B$614*K$3085*$E$14/$F$14*(1-K$2900)</f>
        <v>0</v>
      </c>
      <c r="L3101" s="273">
        <f t="shared" si="431"/>
        <v>0</v>
      </c>
      <c r="M3101" s="273">
        <f t="shared" si="431"/>
        <v>0</v>
      </c>
      <c r="N3101" s="273">
        <f t="shared" si="431"/>
        <v>0</v>
      </c>
      <c r="O3101" s="273">
        <f t="shared" si="431"/>
        <v>0</v>
      </c>
      <c r="P3101" s="273">
        <f t="shared" si="431"/>
        <v>0</v>
      </c>
      <c r="Q3101" s="273">
        <f t="shared" si="431"/>
        <v>0</v>
      </c>
      <c r="R3101" s="273">
        <f t="shared" si="431"/>
        <v>0</v>
      </c>
      <c r="S3101" s="273">
        <f t="shared" si="431"/>
        <v>1.7717144244930523</v>
      </c>
      <c r="T3101" s="265"/>
    </row>
    <row r="3102" spans="1:20">
      <c r="A3102" s="285" t="s">
        <v>56</v>
      </c>
      <c r="B3102" s="273">
        <f t="shared" ref="B3102:J3102" si="432">100*B2454*B$615*B$3085*$E$14/$F$14*(1-B$2901)</f>
        <v>0</v>
      </c>
      <c r="C3102" s="273">
        <f t="shared" si="432"/>
        <v>0</v>
      </c>
      <c r="D3102" s="273">
        <f t="shared" si="432"/>
        <v>0</v>
      </c>
      <c r="E3102" s="273">
        <f t="shared" si="432"/>
        <v>0</v>
      </c>
      <c r="F3102" s="273">
        <f t="shared" si="432"/>
        <v>0</v>
      </c>
      <c r="G3102" s="273">
        <f t="shared" si="432"/>
        <v>0</v>
      </c>
      <c r="H3102" s="273">
        <f t="shared" si="432"/>
        <v>0</v>
      </c>
      <c r="I3102" s="273">
        <f t="shared" si="432"/>
        <v>0</v>
      </c>
      <c r="J3102" s="273">
        <f t="shared" si="432"/>
        <v>0.13451393568644926</v>
      </c>
      <c r="K3102" s="273">
        <f t="shared" ref="K3102:S3102" si="433">100*B2454*B$615*K$3085*$E$14/$F$14*(1-K$2901)</f>
        <v>0</v>
      </c>
      <c r="L3102" s="273">
        <f t="shared" si="433"/>
        <v>0</v>
      </c>
      <c r="M3102" s="273">
        <f t="shared" si="433"/>
        <v>0</v>
      </c>
      <c r="N3102" s="273">
        <f t="shared" si="433"/>
        <v>0</v>
      </c>
      <c r="O3102" s="273">
        <f t="shared" si="433"/>
        <v>0</v>
      </c>
      <c r="P3102" s="273">
        <f t="shared" si="433"/>
        <v>0</v>
      </c>
      <c r="Q3102" s="273">
        <f t="shared" si="433"/>
        <v>0</v>
      </c>
      <c r="R3102" s="273">
        <f t="shared" si="433"/>
        <v>0</v>
      </c>
      <c r="S3102" s="273">
        <f t="shared" si="433"/>
        <v>1.7717144244930523</v>
      </c>
      <c r="T3102" s="265"/>
    </row>
    <row r="3103" spans="1:20">
      <c r="A3103" s="285" t="s">
        <v>57</v>
      </c>
      <c r="B3103" s="273">
        <f t="shared" ref="B3103:J3103" si="434">100*B2455*B$616*B$3085*$E$14/$F$14*(1-B$2902)</f>
        <v>0</v>
      </c>
      <c r="C3103" s="273">
        <f t="shared" si="434"/>
        <v>0</v>
      </c>
      <c r="D3103" s="273">
        <f t="shared" si="434"/>
        <v>0</v>
      </c>
      <c r="E3103" s="273">
        <f t="shared" si="434"/>
        <v>0</v>
      </c>
      <c r="F3103" s="273">
        <f t="shared" si="434"/>
        <v>0</v>
      </c>
      <c r="G3103" s="273">
        <f t="shared" si="434"/>
        <v>0</v>
      </c>
      <c r="H3103" s="273">
        <f t="shared" si="434"/>
        <v>0</v>
      </c>
      <c r="I3103" s="273">
        <f t="shared" si="434"/>
        <v>0</v>
      </c>
      <c r="J3103" s="273">
        <f t="shared" si="434"/>
        <v>0.13451393568644926</v>
      </c>
      <c r="K3103" s="273">
        <f t="shared" ref="K3103:S3103" si="435">100*B2455*B$616*K$3085*$E$14/$F$14*(1-K$2902)</f>
        <v>0</v>
      </c>
      <c r="L3103" s="273">
        <f t="shared" si="435"/>
        <v>0</v>
      </c>
      <c r="M3103" s="273">
        <f t="shared" si="435"/>
        <v>0</v>
      </c>
      <c r="N3103" s="273">
        <f t="shared" si="435"/>
        <v>0</v>
      </c>
      <c r="O3103" s="273">
        <f t="shared" si="435"/>
        <v>0</v>
      </c>
      <c r="P3103" s="273">
        <f t="shared" si="435"/>
        <v>0</v>
      </c>
      <c r="Q3103" s="273">
        <f t="shared" si="435"/>
        <v>0</v>
      </c>
      <c r="R3103" s="273">
        <f t="shared" si="435"/>
        <v>0</v>
      </c>
      <c r="S3103" s="273">
        <f t="shared" si="435"/>
        <v>1.7717144244930523</v>
      </c>
      <c r="T3103" s="265"/>
    </row>
    <row r="3104" spans="1:20">
      <c r="A3104" s="285" t="s">
        <v>92</v>
      </c>
      <c r="B3104" s="273">
        <f t="shared" ref="B3104:J3104" si="436">100*B2456*B$617*B$3085*$E$14/$F$14*(1-B$2903)</f>
        <v>0</v>
      </c>
      <c r="C3104" s="273">
        <f t="shared" si="436"/>
        <v>0</v>
      </c>
      <c r="D3104" s="273">
        <f t="shared" si="436"/>
        <v>0</v>
      </c>
      <c r="E3104" s="273">
        <f t="shared" si="436"/>
        <v>0</v>
      </c>
      <c r="F3104" s="273">
        <f t="shared" si="436"/>
        <v>0</v>
      </c>
      <c r="G3104" s="273">
        <f t="shared" si="436"/>
        <v>0</v>
      </c>
      <c r="H3104" s="273">
        <f t="shared" si="436"/>
        <v>0</v>
      </c>
      <c r="I3104" s="273">
        <f t="shared" si="436"/>
        <v>0</v>
      </c>
      <c r="J3104" s="273">
        <f t="shared" si="436"/>
        <v>0.13451393568644926</v>
      </c>
      <c r="K3104" s="273">
        <f t="shared" ref="K3104:S3104" si="437">100*B2456*B$617*K$3085*$E$14/$F$14*(1-K$2903)</f>
        <v>0</v>
      </c>
      <c r="L3104" s="273">
        <f t="shared" si="437"/>
        <v>0</v>
      </c>
      <c r="M3104" s="273">
        <f t="shared" si="437"/>
        <v>0</v>
      </c>
      <c r="N3104" s="273">
        <f t="shared" si="437"/>
        <v>0</v>
      </c>
      <c r="O3104" s="273">
        <f t="shared" si="437"/>
        <v>0</v>
      </c>
      <c r="P3104" s="273">
        <f t="shared" si="437"/>
        <v>0</v>
      </c>
      <c r="Q3104" s="273">
        <f t="shared" si="437"/>
        <v>0</v>
      </c>
      <c r="R3104" s="273">
        <f t="shared" si="437"/>
        <v>0</v>
      </c>
      <c r="S3104" s="273">
        <f t="shared" si="437"/>
        <v>1.7717144244930523</v>
      </c>
      <c r="T3104" s="265"/>
    </row>
    <row r="3105" spans="1:20">
      <c r="A3105" s="285" t="s">
        <v>58</v>
      </c>
      <c r="B3105" s="273">
        <f t="shared" ref="B3105:J3105" si="438">100*B2457*B$618*B$3085*$E$14/$F$14*(1-B$2904)</f>
        <v>0</v>
      </c>
      <c r="C3105" s="273">
        <f t="shared" si="438"/>
        <v>0</v>
      </c>
      <c r="D3105" s="273">
        <f t="shared" si="438"/>
        <v>0</v>
      </c>
      <c r="E3105" s="273">
        <f t="shared" si="438"/>
        <v>0</v>
      </c>
      <c r="F3105" s="273">
        <f t="shared" si="438"/>
        <v>0</v>
      </c>
      <c r="G3105" s="273">
        <f t="shared" si="438"/>
        <v>0</v>
      </c>
      <c r="H3105" s="273">
        <f t="shared" si="438"/>
        <v>0</v>
      </c>
      <c r="I3105" s="273">
        <f t="shared" si="438"/>
        <v>0</v>
      </c>
      <c r="J3105" s="273">
        <f t="shared" si="438"/>
        <v>0.13451393568644926</v>
      </c>
      <c r="K3105" s="273">
        <f t="shared" ref="K3105:S3105" si="439">100*B2457*B$618*K$3085*$E$14/$F$14*(1-K$2904)</f>
        <v>0</v>
      </c>
      <c r="L3105" s="273">
        <f t="shared" si="439"/>
        <v>0</v>
      </c>
      <c r="M3105" s="273">
        <f t="shared" si="439"/>
        <v>0</v>
      </c>
      <c r="N3105" s="273">
        <f t="shared" si="439"/>
        <v>0</v>
      </c>
      <c r="O3105" s="273">
        <f t="shared" si="439"/>
        <v>0</v>
      </c>
      <c r="P3105" s="273">
        <f t="shared" si="439"/>
        <v>0</v>
      </c>
      <c r="Q3105" s="273">
        <f t="shared" si="439"/>
        <v>0</v>
      </c>
      <c r="R3105" s="273">
        <f t="shared" si="439"/>
        <v>0</v>
      </c>
      <c r="S3105" s="273">
        <f t="shared" si="439"/>
        <v>1.7717144244930523</v>
      </c>
      <c r="T3105" s="265"/>
    </row>
    <row r="3106" spans="1:20">
      <c r="A3106" s="285" t="s">
        <v>59</v>
      </c>
      <c r="B3106" s="273">
        <f t="shared" ref="B3106:J3106" si="440">100*B2458*B$619*B$3085*$E$14/$F$14*(1-B$2905)</f>
        <v>0</v>
      </c>
      <c r="C3106" s="273">
        <f t="shared" si="440"/>
        <v>0</v>
      </c>
      <c r="D3106" s="273">
        <f t="shared" si="440"/>
        <v>0</v>
      </c>
      <c r="E3106" s="273">
        <f t="shared" si="440"/>
        <v>0</v>
      </c>
      <c r="F3106" s="273">
        <f t="shared" si="440"/>
        <v>0</v>
      </c>
      <c r="G3106" s="273">
        <f t="shared" si="440"/>
        <v>0</v>
      </c>
      <c r="H3106" s="273">
        <f t="shared" si="440"/>
        <v>0</v>
      </c>
      <c r="I3106" s="273">
        <f t="shared" si="440"/>
        <v>6.8200245290552908E-2</v>
      </c>
      <c r="J3106" s="273">
        <f t="shared" si="440"/>
        <v>0</v>
      </c>
      <c r="K3106" s="273">
        <f t="shared" ref="K3106:S3106" si="441">100*B2458*B$619*K$3085*$E$14/$F$14*(1-K$2905)</f>
        <v>0</v>
      </c>
      <c r="L3106" s="273">
        <f t="shared" si="441"/>
        <v>0</v>
      </c>
      <c r="M3106" s="273">
        <f t="shared" si="441"/>
        <v>0</v>
      </c>
      <c r="N3106" s="273">
        <f t="shared" si="441"/>
        <v>0</v>
      </c>
      <c r="O3106" s="273">
        <f t="shared" si="441"/>
        <v>0</v>
      </c>
      <c r="P3106" s="273">
        <f t="shared" si="441"/>
        <v>0</v>
      </c>
      <c r="Q3106" s="273">
        <f t="shared" si="441"/>
        <v>0</v>
      </c>
      <c r="R3106" s="273">
        <f t="shared" si="441"/>
        <v>0.89828133954011824</v>
      </c>
      <c r="S3106" s="273">
        <f t="shared" si="441"/>
        <v>0</v>
      </c>
      <c r="T3106" s="265"/>
    </row>
    <row r="3107" spans="1:20">
      <c r="A3107" s="285" t="s">
        <v>72</v>
      </c>
      <c r="B3107" s="273">
        <f t="shared" ref="B3107:J3107" si="442">100*B2459*B$620*B$3085*$E$14/$F$14*(1-B$2906)</f>
        <v>0</v>
      </c>
      <c r="C3107" s="273">
        <f t="shared" si="442"/>
        <v>0</v>
      </c>
      <c r="D3107" s="273">
        <f t="shared" si="442"/>
        <v>0</v>
      </c>
      <c r="E3107" s="273">
        <f t="shared" si="442"/>
        <v>8.0009110718554072E-2</v>
      </c>
      <c r="F3107" s="273">
        <f t="shared" si="442"/>
        <v>0</v>
      </c>
      <c r="G3107" s="273">
        <f t="shared" si="442"/>
        <v>0</v>
      </c>
      <c r="H3107" s="273">
        <f t="shared" si="442"/>
        <v>0</v>
      </c>
      <c r="I3107" s="273">
        <f t="shared" si="442"/>
        <v>0</v>
      </c>
      <c r="J3107" s="273">
        <f t="shared" si="442"/>
        <v>0</v>
      </c>
      <c r="K3107" s="273">
        <f t="shared" ref="K3107:S3107" si="443">100*B2459*B$620*K$3085*$E$14/$F$14*(1-K$2906)</f>
        <v>0</v>
      </c>
      <c r="L3107" s="273">
        <f t="shared" si="443"/>
        <v>0</v>
      </c>
      <c r="M3107" s="273">
        <f t="shared" si="443"/>
        <v>0</v>
      </c>
      <c r="N3107" s="273">
        <f t="shared" si="443"/>
        <v>0.15966949404584221</v>
      </c>
      <c r="O3107" s="273">
        <f t="shared" si="443"/>
        <v>0.80237609147766675</v>
      </c>
      <c r="P3107" s="273">
        <f t="shared" si="443"/>
        <v>0</v>
      </c>
      <c r="Q3107" s="273">
        <f t="shared" si="443"/>
        <v>2.0858307163058862</v>
      </c>
      <c r="R3107" s="273">
        <f t="shared" si="443"/>
        <v>0</v>
      </c>
      <c r="S3107" s="273">
        <f t="shared" si="443"/>
        <v>0</v>
      </c>
      <c r="T3107" s="265"/>
    </row>
    <row r="3108" spans="1:20">
      <c r="A3108" s="285" t="s">
        <v>1178</v>
      </c>
      <c r="B3108" s="273">
        <f t="shared" ref="B3108:J3108" si="444">100*B2460*B$621*B$3085*$E$14/$F$14*(1-B$2907)</f>
        <v>0</v>
      </c>
      <c r="C3108" s="273">
        <f t="shared" si="444"/>
        <v>0</v>
      </c>
      <c r="D3108" s="273">
        <f t="shared" si="444"/>
        <v>0</v>
      </c>
      <c r="E3108" s="273">
        <f t="shared" si="444"/>
        <v>0</v>
      </c>
      <c r="F3108" s="273">
        <f t="shared" si="444"/>
        <v>0</v>
      </c>
      <c r="G3108" s="273">
        <f t="shared" si="444"/>
        <v>0</v>
      </c>
      <c r="H3108" s="273">
        <f t="shared" si="444"/>
        <v>0</v>
      </c>
      <c r="I3108" s="273">
        <f t="shared" si="444"/>
        <v>0</v>
      </c>
      <c r="J3108" s="273">
        <f t="shared" si="444"/>
        <v>0.13451393568644926</v>
      </c>
      <c r="K3108" s="273">
        <f t="shared" ref="K3108:S3108" si="445">100*B2460*B$621*K$3085*$E$14/$F$14*(1-K$2907)</f>
        <v>0</v>
      </c>
      <c r="L3108" s="273">
        <f t="shared" si="445"/>
        <v>0</v>
      </c>
      <c r="M3108" s="273">
        <f t="shared" si="445"/>
        <v>0</v>
      </c>
      <c r="N3108" s="273">
        <f t="shared" si="445"/>
        <v>0</v>
      </c>
      <c r="O3108" s="273">
        <f t="shared" si="445"/>
        <v>0</v>
      </c>
      <c r="P3108" s="273">
        <f t="shared" si="445"/>
        <v>0</v>
      </c>
      <c r="Q3108" s="273">
        <f t="shared" si="445"/>
        <v>0</v>
      </c>
      <c r="R3108" s="273">
        <f t="shared" si="445"/>
        <v>0</v>
      </c>
      <c r="S3108" s="273">
        <f t="shared" si="445"/>
        <v>1.7717144244930523</v>
      </c>
      <c r="T3108" s="265"/>
    </row>
    <row r="3109" spans="1:20">
      <c r="A3109" s="285" t="s">
        <v>1177</v>
      </c>
      <c r="B3109" s="273">
        <f t="shared" ref="B3109:J3109" si="446">100*B2461*B$622*B$3085*$E$14/$F$14*(1-B$2908)</f>
        <v>0</v>
      </c>
      <c r="C3109" s="273">
        <f t="shared" si="446"/>
        <v>0</v>
      </c>
      <c r="D3109" s="273">
        <f t="shared" si="446"/>
        <v>0</v>
      </c>
      <c r="E3109" s="273">
        <f t="shared" si="446"/>
        <v>0</v>
      </c>
      <c r="F3109" s="273">
        <f t="shared" si="446"/>
        <v>0</v>
      </c>
      <c r="G3109" s="273">
        <f t="shared" si="446"/>
        <v>0</v>
      </c>
      <c r="H3109" s="273">
        <f t="shared" si="446"/>
        <v>0</v>
      </c>
      <c r="I3109" s="273">
        <f t="shared" si="446"/>
        <v>0</v>
      </c>
      <c r="J3109" s="273">
        <f t="shared" si="446"/>
        <v>0.13451393568644926</v>
      </c>
      <c r="K3109" s="273">
        <f t="shared" ref="K3109:S3109" si="447">100*B2461*B$622*K$3085*$E$14/$F$14*(1-K$2908)</f>
        <v>0</v>
      </c>
      <c r="L3109" s="273">
        <f t="shared" si="447"/>
        <v>0</v>
      </c>
      <c r="M3109" s="273">
        <f t="shared" si="447"/>
        <v>0</v>
      </c>
      <c r="N3109" s="273">
        <f t="shared" si="447"/>
        <v>0</v>
      </c>
      <c r="O3109" s="273">
        <f t="shared" si="447"/>
        <v>0</v>
      </c>
      <c r="P3109" s="273">
        <f t="shared" si="447"/>
        <v>0</v>
      </c>
      <c r="Q3109" s="273">
        <f t="shared" si="447"/>
        <v>0</v>
      </c>
      <c r="R3109" s="273">
        <f t="shared" si="447"/>
        <v>0</v>
      </c>
      <c r="S3109" s="273">
        <f t="shared" si="447"/>
        <v>1.7717144244930523</v>
      </c>
      <c r="T3109" s="265"/>
    </row>
    <row r="3110" spans="1:20">
      <c r="A3110" s="285" t="s">
        <v>60</v>
      </c>
      <c r="B3110" s="273">
        <f t="shared" ref="B3110:J3110" si="448">100*B2462*B$623*B$3085*$E$14/$F$14*(1-B$2909)</f>
        <v>0</v>
      </c>
      <c r="C3110" s="273">
        <f t="shared" si="448"/>
        <v>0</v>
      </c>
      <c r="D3110" s="273">
        <f t="shared" si="448"/>
        <v>0</v>
      </c>
      <c r="E3110" s="273">
        <f t="shared" si="448"/>
        <v>0</v>
      </c>
      <c r="F3110" s="273">
        <f t="shared" si="448"/>
        <v>0</v>
      </c>
      <c r="G3110" s="273">
        <f t="shared" si="448"/>
        <v>0</v>
      </c>
      <c r="H3110" s="273">
        <f t="shared" si="448"/>
        <v>0.12313836217528705</v>
      </c>
      <c r="I3110" s="273">
        <f t="shared" si="448"/>
        <v>6.9045434221703728E-2</v>
      </c>
      <c r="J3110" s="273">
        <f t="shared" si="448"/>
        <v>0.13451393568644926</v>
      </c>
      <c r="K3110" s="273">
        <f t="shared" ref="K3110:S3110" si="449">100*B2462*B$623*K$3085*$E$14/$F$14*(1-K$2909)</f>
        <v>0</v>
      </c>
      <c r="L3110" s="273">
        <f t="shared" si="449"/>
        <v>0</v>
      </c>
      <c r="M3110" s="273">
        <f t="shared" si="449"/>
        <v>0</v>
      </c>
      <c r="N3110" s="273">
        <f t="shared" si="449"/>
        <v>0</v>
      </c>
      <c r="O3110" s="273">
        <f t="shared" si="449"/>
        <v>0</v>
      </c>
      <c r="P3110" s="273">
        <f t="shared" si="449"/>
        <v>0</v>
      </c>
      <c r="Q3110" s="273">
        <f t="shared" si="449"/>
        <v>0.42681160322097322</v>
      </c>
      <c r="R3110" s="273">
        <f t="shared" si="449"/>
        <v>0.90941352010639265</v>
      </c>
      <c r="S3110" s="273">
        <f t="shared" si="449"/>
        <v>1.7717144244930523</v>
      </c>
      <c r="T3110" s="265"/>
    </row>
    <row r="3111" spans="1:20">
      <c r="A3111" s="285" t="s">
        <v>61</v>
      </c>
      <c r="B3111" s="273">
        <f t="shared" ref="B3111:J3111" si="450">100*B2463*B$624*B$3085*$E$14/$F$14*(1-B$2910)</f>
        <v>0</v>
      </c>
      <c r="C3111" s="273">
        <f t="shared" si="450"/>
        <v>0</v>
      </c>
      <c r="D3111" s="273">
        <f t="shared" si="450"/>
        <v>0</v>
      </c>
      <c r="E3111" s="273">
        <f t="shared" si="450"/>
        <v>0</v>
      </c>
      <c r="F3111" s="273">
        <f t="shared" si="450"/>
        <v>0</v>
      </c>
      <c r="G3111" s="273">
        <f t="shared" si="450"/>
        <v>0</v>
      </c>
      <c r="H3111" s="273">
        <f t="shared" si="450"/>
        <v>0.60815509379414368</v>
      </c>
      <c r="I3111" s="273">
        <f t="shared" si="450"/>
        <v>6.8200245290552908E-2</v>
      </c>
      <c r="J3111" s="273">
        <f t="shared" si="450"/>
        <v>0</v>
      </c>
      <c r="K3111" s="273">
        <f t="shared" ref="K3111:S3111" si="451">100*B2463*B$624*K$3085*$E$14/$F$14*(1-K$2910)</f>
        <v>0</v>
      </c>
      <c r="L3111" s="273">
        <f t="shared" si="451"/>
        <v>0</v>
      </c>
      <c r="M3111" s="273">
        <f t="shared" si="451"/>
        <v>0</v>
      </c>
      <c r="N3111" s="273">
        <f t="shared" si="451"/>
        <v>0</v>
      </c>
      <c r="O3111" s="273">
        <f t="shared" si="451"/>
        <v>0</v>
      </c>
      <c r="P3111" s="273">
        <f t="shared" si="451"/>
        <v>0</v>
      </c>
      <c r="Q3111" s="273">
        <f t="shared" si="451"/>
        <v>2.1079348953804189</v>
      </c>
      <c r="R3111" s="273">
        <f t="shared" si="451"/>
        <v>0.89828133954011824</v>
      </c>
      <c r="S3111" s="273">
        <f t="shared" si="451"/>
        <v>0</v>
      </c>
      <c r="T3111" s="265"/>
    </row>
    <row r="3112" spans="1:20">
      <c r="A3112" s="285" t="s">
        <v>73</v>
      </c>
      <c r="B3112" s="273">
        <f t="shared" ref="B3112:J3112" si="452">100*B2464*B$625*B$3085*$E$14/$F$14*(1-B$2911)</f>
        <v>0</v>
      </c>
      <c r="C3112" s="273">
        <f t="shared" si="452"/>
        <v>0</v>
      </c>
      <c r="D3112" s="273">
        <f t="shared" si="452"/>
        <v>0</v>
      </c>
      <c r="E3112" s="273">
        <f t="shared" si="452"/>
        <v>8.0009110718554072E-2</v>
      </c>
      <c r="F3112" s="273">
        <f t="shared" si="452"/>
        <v>0</v>
      </c>
      <c r="G3112" s="273">
        <f t="shared" si="452"/>
        <v>0</v>
      </c>
      <c r="H3112" s="273">
        <f t="shared" si="452"/>
        <v>0</v>
      </c>
      <c r="I3112" s="273">
        <f t="shared" si="452"/>
        <v>0</v>
      </c>
      <c r="J3112" s="273">
        <f t="shared" si="452"/>
        <v>0</v>
      </c>
      <c r="K3112" s="273">
        <f t="shared" ref="K3112:S3112" si="453">100*B2464*B$625*K$3085*$E$14/$F$14*(1-K$2911)</f>
        <v>0</v>
      </c>
      <c r="L3112" s="273">
        <f t="shared" si="453"/>
        <v>0</v>
      </c>
      <c r="M3112" s="273">
        <f t="shared" si="453"/>
        <v>0</v>
      </c>
      <c r="N3112" s="273">
        <f t="shared" si="453"/>
        <v>0.15966949404584221</v>
      </c>
      <c r="O3112" s="273">
        <f t="shared" si="453"/>
        <v>0.80237609147766675</v>
      </c>
      <c r="P3112" s="273">
        <f t="shared" si="453"/>
        <v>0</v>
      </c>
      <c r="Q3112" s="273">
        <f t="shared" si="453"/>
        <v>2.0858307163058862</v>
      </c>
      <c r="R3112" s="273">
        <f t="shared" si="453"/>
        <v>0</v>
      </c>
      <c r="S3112" s="273">
        <f t="shared" si="453"/>
        <v>0</v>
      </c>
      <c r="T3112" s="265"/>
    </row>
    <row r="3113" spans="1:20">
      <c r="A3113" s="285" t="s">
        <v>93</v>
      </c>
      <c r="B3113" s="273">
        <f t="shared" ref="B3113:J3113" si="454">100*B2465*B$626*B$3085*$E$14/$F$14*(1-B$2912)</f>
        <v>0</v>
      </c>
      <c r="C3113" s="273">
        <f t="shared" si="454"/>
        <v>0</v>
      </c>
      <c r="D3113" s="273">
        <f t="shared" si="454"/>
        <v>0</v>
      </c>
      <c r="E3113" s="273">
        <f t="shared" si="454"/>
        <v>0</v>
      </c>
      <c r="F3113" s="273">
        <f t="shared" si="454"/>
        <v>0</v>
      </c>
      <c r="G3113" s="273">
        <f t="shared" si="454"/>
        <v>0</v>
      </c>
      <c r="H3113" s="273">
        <f t="shared" si="454"/>
        <v>0</v>
      </c>
      <c r="I3113" s="273">
        <f t="shared" si="454"/>
        <v>0</v>
      </c>
      <c r="J3113" s="273">
        <f t="shared" si="454"/>
        <v>0</v>
      </c>
      <c r="K3113" s="273">
        <f t="shared" ref="K3113:S3113" si="455">100*B2465*B$626*K$3085*$E$14/$F$14*(1-K$2912)</f>
        <v>0</v>
      </c>
      <c r="L3113" s="273">
        <f t="shared" si="455"/>
        <v>0</v>
      </c>
      <c r="M3113" s="273">
        <f t="shared" si="455"/>
        <v>0</v>
      </c>
      <c r="N3113" s="273">
        <f t="shared" si="455"/>
        <v>0</v>
      </c>
      <c r="O3113" s="273">
        <f t="shared" si="455"/>
        <v>0</v>
      </c>
      <c r="P3113" s="273">
        <f t="shared" si="455"/>
        <v>0</v>
      </c>
      <c r="Q3113" s="273">
        <f t="shared" si="455"/>
        <v>0</v>
      </c>
      <c r="R3113" s="273">
        <f t="shared" si="455"/>
        <v>0</v>
      </c>
      <c r="S3113" s="273">
        <f t="shared" si="455"/>
        <v>0</v>
      </c>
      <c r="T3113" s="265"/>
    </row>
    <row r="3114" spans="1:20">
      <c r="A3114" s="285" t="s">
        <v>94</v>
      </c>
      <c r="B3114" s="273">
        <f t="shared" ref="B3114:J3114" si="456">100*B2466*B$627*B$3085*$E$14/$F$14*(1-B$2913)</f>
        <v>0</v>
      </c>
      <c r="C3114" s="273">
        <f t="shared" si="456"/>
        <v>0</v>
      </c>
      <c r="D3114" s="273">
        <f t="shared" si="456"/>
        <v>0</v>
      </c>
      <c r="E3114" s="273">
        <f t="shared" si="456"/>
        <v>0</v>
      </c>
      <c r="F3114" s="273">
        <f t="shared" si="456"/>
        <v>0</v>
      </c>
      <c r="G3114" s="273">
        <f t="shared" si="456"/>
        <v>0</v>
      </c>
      <c r="H3114" s="273">
        <f t="shared" si="456"/>
        <v>0</v>
      </c>
      <c r="I3114" s="273">
        <f t="shared" si="456"/>
        <v>0</v>
      </c>
      <c r="J3114" s="273">
        <f t="shared" si="456"/>
        <v>0</v>
      </c>
      <c r="K3114" s="273">
        <f t="shared" ref="K3114:S3114" si="457">100*B2466*B$627*K$3085*$E$14/$F$14*(1-K$2913)</f>
        <v>0</v>
      </c>
      <c r="L3114" s="273">
        <f t="shared" si="457"/>
        <v>0</v>
      </c>
      <c r="M3114" s="273">
        <f t="shared" si="457"/>
        <v>0</v>
      </c>
      <c r="N3114" s="273">
        <f t="shared" si="457"/>
        <v>0</v>
      </c>
      <c r="O3114" s="273">
        <f t="shared" si="457"/>
        <v>0</v>
      </c>
      <c r="P3114" s="273">
        <f t="shared" si="457"/>
        <v>0</v>
      </c>
      <c r="Q3114" s="273">
        <f t="shared" si="457"/>
        <v>0</v>
      </c>
      <c r="R3114" s="273">
        <f t="shared" si="457"/>
        <v>0</v>
      </c>
      <c r="S3114" s="273">
        <f t="shared" si="457"/>
        <v>0</v>
      </c>
      <c r="T3114" s="265"/>
    </row>
    <row r="3115" spans="1:20">
      <c r="A3115" s="285" t="s">
        <v>95</v>
      </c>
      <c r="B3115" s="273">
        <f t="shared" ref="B3115:J3115" si="458">100*B2467*B$628*B$3085*$E$14/$F$14*(1-B$2914)</f>
        <v>0</v>
      </c>
      <c r="C3115" s="273">
        <f t="shared" si="458"/>
        <v>0</v>
      </c>
      <c r="D3115" s="273">
        <f t="shared" si="458"/>
        <v>0</v>
      </c>
      <c r="E3115" s="273">
        <f t="shared" si="458"/>
        <v>0</v>
      </c>
      <c r="F3115" s="273">
        <f t="shared" si="458"/>
        <v>0</v>
      </c>
      <c r="G3115" s="273">
        <f t="shared" si="458"/>
        <v>0</v>
      </c>
      <c r="H3115" s="273">
        <f t="shared" si="458"/>
        <v>0</v>
      </c>
      <c r="I3115" s="273">
        <f t="shared" si="458"/>
        <v>0</v>
      </c>
      <c r="J3115" s="273">
        <f t="shared" si="458"/>
        <v>0</v>
      </c>
      <c r="K3115" s="273">
        <f t="shared" ref="K3115:S3115" si="459">100*B2467*B$628*K$3085*$E$14/$F$14*(1-K$2914)</f>
        <v>0</v>
      </c>
      <c r="L3115" s="273">
        <f t="shared" si="459"/>
        <v>0</v>
      </c>
      <c r="M3115" s="273">
        <f t="shared" si="459"/>
        <v>0</v>
      </c>
      <c r="N3115" s="273">
        <f t="shared" si="459"/>
        <v>0</v>
      </c>
      <c r="O3115" s="273">
        <f t="shared" si="459"/>
        <v>0</v>
      </c>
      <c r="P3115" s="273">
        <f t="shared" si="459"/>
        <v>0</v>
      </c>
      <c r="Q3115" s="273">
        <f t="shared" si="459"/>
        <v>0</v>
      </c>
      <c r="R3115" s="273">
        <f t="shared" si="459"/>
        <v>0</v>
      </c>
      <c r="S3115" s="273">
        <f t="shared" si="459"/>
        <v>0</v>
      </c>
      <c r="T3115" s="265"/>
    </row>
    <row r="3116" spans="1:20">
      <c r="A3116" s="285" t="s">
        <v>96</v>
      </c>
      <c r="B3116" s="273">
        <f t="shared" ref="B3116:J3116" si="460">100*B2468*B$629*B$3085*$E$14/$F$14*(1-B$2915)</f>
        <v>0</v>
      </c>
      <c r="C3116" s="273">
        <f t="shared" si="460"/>
        <v>0</v>
      </c>
      <c r="D3116" s="273">
        <f t="shared" si="460"/>
        <v>0</v>
      </c>
      <c r="E3116" s="273">
        <f t="shared" si="460"/>
        <v>0</v>
      </c>
      <c r="F3116" s="273">
        <f t="shared" si="460"/>
        <v>0</v>
      </c>
      <c r="G3116" s="273">
        <f t="shared" si="460"/>
        <v>0</v>
      </c>
      <c r="H3116" s="273">
        <f t="shared" si="460"/>
        <v>0</v>
      </c>
      <c r="I3116" s="273">
        <f t="shared" si="460"/>
        <v>0</v>
      </c>
      <c r="J3116" s="273">
        <f t="shared" si="460"/>
        <v>0</v>
      </c>
      <c r="K3116" s="273">
        <f t="shared" ref="K3116:S3116" si="461">100*B2468*B$629*K$3085*$E$14/$F$14*(1-K$2915)</f>
        <v>0</v>
      </c>
      <c r="L3116" s="273">
        <f t="shared" si="461"/>
        <v>0</v>
      </c>
      <c r="M3116" s="273">
        <f t="shared" si="461"/>
        <v>0</v>
      </c>
      <c r="N3116" s="273">
        <f t="shared" si="461"/>
        <v>0</v>
      </c>
      <c r="O3116" s="273">
        <f t="shared" si="461"/>
        <v>0</v>
      </c>
      <c r="P3116" s="273">
        <f t="shared" si="461"/>
        <v>0</v>
      </c>
      <c r="Q3116" s="273">
        <f t="shared" si="461"/>
        <v>0</v>
      </c>
      <c r="R3116" s="273">
        <f t="shared" si="461"/>
        <v>0</v>
      </c>
      <c r="S3116" s="273">
        <f t="shared" si="461"/>
        <v>0</v>
      </c>
      <c r="T3116" s="265"/>
    </row>
    <row r="3117" spans="1:20">
      <c r="A3117" s="285" t="s">
        <v>97</v>
      </c>
      <c r="B3117" s="273">
        <f t="shared" ref="B3117:J3117" si="462">100*B2469*B$630*B$3085*$E$14/$F$14*(1-B$2916)</f>
        <v>0</v>
      </c>
      <c r="C3117" s="273">
        <f t="shared" si="462"/>
        <v>0</v>
      </c>
      <c r="D3117" s="273">
        <f t="shared" si="462"/>
        <v>0</v>
      </c>
      <c r="E3117" s="273">
        <f t="shared" si="462"/>
        <v>0</v>
      </c>
      <c r="F3117" s="273">
        <f t="shared" si="462"/>
        <v>0</v>
      </c>
      <c r="G3117" s="273">
        <f t="shared" si="462"/>
        <v>0</v>
      </c>
      <c r="H3117" s="273">
        <f t="shared" si="462"/>
        <v>0</v>
      </c>
      <c r="I3117" s="273">
        <f t="shared" si="462"/>
        <v>0</v>
      </c>
      <c r="J3117" s="273">
        <f t="shared" si="462"/>
        <v>0</v>
      </c>
      <c r="K3117" s="273">
        <f t="shared" ref="K3117:S3117" si="463">100*B2469*B$630*K$3085*$E$14/$F$14*(1-K$2916)</f>
        <v>0</v>
      </c>
      <c r="L3117" s="273">
        <f t="shared" si="463"/>
        <v>0</v>
      </c>
      <c r="M3117" s="273">
        <f t="shared" si="463"/>
        <v>0</v>
      </c>
      <c r="N3117" s="273">
        <f t="shared" si="463"/>
        <v>0</v>
      </c>
      <c r="O3117" s="273">
        <f t="shared" si="463"/>
        <v>0</v>
      </c>
      <c r="P3117" s="273">
        <f t="shared" si="463"/>
        <v>0</v>
      </c>
      <c r="Q3117" s="273">
        <f t="shared" si="463"/>
        <v>0</v>
      </c>
      <c r="R3117" s="273">
        <f t="shared" si="463"/>
        <v>0</v>
      </c>
      <c r="S3117" s="273">
        <f t="shared" si="463"/>
        <v>0</v>
      </c>
      <c r="T3117" s="265"/>
    </row>
    <row r="3119" spans="1:20" ht="21" customHeight="1">
      <c r="A3119" s="1" t="s">
        <v>1148</v>
      </c>
    </row>
    <row r="3120" spans="1:20">
      <c r="A3120" s="264" t="s">
        <v>217</v>
      </c>
    </row>
    <row r="3121" spans="1:20">
      <c r="A3121" s="269" t="s">
        <v>671</v>
      </c>
    </row>
    <row r="3122" spans="1:20">
      <c r="A3122" s="269" t="s">
        <v>677</v>
      </c>
    </row>
    <row r="3123" spans="1:20">
      <c r="A3123" s="264" t="s">
        <v>1141</v>
      </c>
    </row>
    <row r="3125" spans="1:20" ht="30">
      <c r="B3125" s="284" t="s">
        <v>22</v>
      </c>
      <c r="C3125" s="284" t="s">
        <v>182</v>
      </c>
      <c r="D3125" s="284" t="s">
        <v>183</v>
      </c>
      <c r="E3125" s="284" t="s">
        <v>184</v>
      </c>
      <c r="F3125" s="284" t="s">
        <v>185</v>
      </c>
      <c r="G3125" s="284" t="s">
        <v>186</v>
      </c>
      <c r="H3125" s="284" t="s">
        <v>187</v>
      </c>
      <c r="I3125" s="284" t="s">
        <v>188</v>
      </c>
      <c r="J3125" s="284" t="s">
        <v>189</v>
      </c>
      <c r="K3125" s="284" t="s">
        <v>170</v>
      </c>
      <c r="L3125" s="284" t="s">
        <v>567</v>
      </c>
      <c r="M3125" s="284" t="s">
        <v>568</v>
      </c>
      <c r="N3125" s="284" t="s">
        <v>569</v>
      </c>
      <c r="O3125" s="284" t="s">
        <v>570</v>
      </c>
      <c r="P3125" s="284" t="s">
        <v>571</v>
      </c>
      <c r="Q3125" s="284" t="s">
        <v>572</v>
      </c>
      <c r="R3125" s="284" t="s">
        <v>573</v>
      </c>
      <c r="S3125" s="284" t="s">
        <v>574</v>
      </c>
    </row>
    <row r="3126" spans="1:20">
      <c r="A3126" s="285" t="s">
        <v>54</v>
      </c>
      <c r="B3126" s="273">
        <f t="shared" ref="B3126:J3126" si="464">(1-B2451)*B$2954</f>
        <v>0</v>
      </c>
      <c r="C3126" s="273">
        <f t="shared" si="464"/>
        <v>0.37772609732303625</v>
      </c>
      <c r="D3126" s="273">
        <f t="shared" si="464"/>
        <v>5.3500840851483322E-2</v>
      </c>
      <c r="E3126" s="273">
        <f t="shared" si="464"/>
        <v>0.13506271086079394</v>
      </c>
      <c r="F3126" s="273">
        <f t="shared" si="464"/>
        <v>2.5791410227193574E-2</v>
      </c>
      <c r="G3126" s="273">
        <f t="shared" si="464"/>
        <v>0</v>
      </c>
      <c r="H3126" s="273">
        <f t="shared" si="464"/>
        <v>9.1853717039880392E-2</v>
      </c>
      <c r="I3126" s="273">
        <f t="shared" si="464"/>
        <v>1.0300737586339049E-2</v>
      </c>
      <c r="J3126" s="273">
        <f t="shared" si="464"/>
        <v>0</v>
      </c>
      <c r="K3126" s="273">
        <f t="shared" ref="K3126:S3126" si="465">(1-B2451)*K$2954</f>
        <v>0.1148903004372913</v>
      </c>
      <c r="L3126" s="273">
        <f t="shared" si="465"/>
        <v>0.24875592693036744</v>
      </c>
      <c r="M3126" s="273">
        <f t="shared" si="465"/>
        <v>3.5233602739879182E-2</v>
      </c>
      <c r="N3126" s="273">
        <f t="shared" si="465"/>
        <v>8.8947123516254833E-2</v>
      </c>
      <c r="O3126" s="273">
        <f t="shared" si="465"/>
        <v>8.9395968518148225E-2</v>
      </c>
      <c r="P3126" s="273">
        <f t="shared" si="465"/>
        <v>0</v>
      </c>
      <c r="Q3126" s="273">
        <f t="shared" si="465"/>
        <v>0.31837545618634994</v>
      </c>
      <c r="R3126" s="273">
        <f t="shared" si="465"/>
        <v>0.13567341756452017</v>
      </c>
      <c r="S3126" s="273">
        <f t="shared" si="465"/>
        <v>0</v>
      </c>
      <c r="T3126" s="265"/>
    </row>
    <row r="3127" spans="1:20">
      <c r="A3127" s="285" t="s">
        <v>55</v>
      </c>
      <c r="B3127" s="273">
        <f t="shared" ref="B3127:J3127" si="466">(1-B2452)*B$2955</f>
        <v>0</v>
      </c>
      <c r="C3127" s="273">
        <f t="shared" si="466"/>
        <v>0.22888434868686627</v>
      </c>
      <c r="D3127" s="273">
        <f t="shared" si="466"/>
        <v>3.2419007315819467E-2</v>
      </c>
      <c r="E3127" s="273">
        <f t="shared" si="466"/>
        <v>8.1841685883878787E-2</v>
      </c>
      <c r="F3127" s="273">
        <f t="shared" si="466"/>
        <v>1.5628388330601491E-2</v>
      </c>
      <c r="G3127" s="273">
        <f t="shared" si="466"/>
        <v>0</v>
      </c>
      <c r="H3127" s="273">
        <f t="shared" si="466"/>
        <v>5.5659056517773094E-2</v>
      </c>
      <c r="I3127" s="273">
        <f t="shared" si="466"/>
        <v>6.2417652106976865E-3</v>
      </c>
      <c r="J3127" s="273">
        <f t="shared" si="466"/>
        <v>0</v>
      </c>
      <c r="K3127" s="273">
        <f t="shared" ref="K3127:S3127" si="467">(1-B2452)*K$2955</f>
        <v>6.9618148633078469E-2</v>
      </c>
      <c r="L3127" s="273">
        <f t="shared" si="467"/>
        <v>0.1507344573778871</v>
      </c>
      <c r="M3127" s="273">
        <f t="shared" si="467"/>
        <v>2.1349915380912205E-2</v>
      </c>
      <c r="N3127" s="273">
        <f t="shared" si="467"/>
        <v>5.389779678415306E-2</v>
      </c>
      <c r="O3127" s="273">
        <f t="shared" si="467"/>
        <v>5.4169775862770636E-2</v>
      </c>
      <c r="P3127" s="273">
        <f t="shared" si="467"/>
        <v>0</v>
      </c>
      <c r="Q3127" s="273">
        <f t="shared" si="467"/>
        <v>0.19292063599401305</v>
      </c>
      <c r="R3127" s="273">
        <f t="shared" si="467"/>
        <v>8.2211745583517515E-2</v>
      </c>
      <c r="S3127" s="273">
        <f t="shared" si="467"/>
        <v>0</v>
      </c>
      <c r="T3127" s="265"/>
    </row>
    <row r="3128" spans="1:20">
      <c r="A3128" s="285" t="s">
        <v>91</v>
      </c>
      <c r="B3128" s="273">
        <f t="shared" ref="B3128:J3128" si="468">(1-B2453)*B$2956</f>
        <v>0</v>
      </c>
      <c r="C3128" s="273">
        <f t="shared" si="468"/>
        <v>0</v>
      </c>
      <c r="D3128" s="273">
        <f t="shared" si="468"/>
        <v>0</v>
      </c>
      <c r="E3128" s="273">
        <f t="shared" si="468"/>
        <v>0</v>
      </c>
      <c r="F3128" s="273">
        <f t="shared" si="468"/>
        <v>0</v>
      </c>
      <c r="G3128" s="273">
        <f t="shared" si="468"/>
        <v>0</v>
      </c>
      <c r="H3128" s="273">
        <f t="shared" si="468"/>
        <v>0</v>
      </c>
      <c r="I3128" s="273">
        <f t="shared" si="468"/>
        <v>0</v>
      </c>
      <c r="J3128" s="273">
        <f t="shared" si="468"/>
        <v>0</v>
      </c>
      <c r="K3128" s="273">
        <f t="shared" ref="K3128:S3128" si="469">(1-B2453)*K$2956</f>
        <v>0</v>
      </c>
      <c r="L3128" s="273">
        <f t="shared" si="469"/>
        <v>0</v>
      </c>
      <c r="M3128" s="273">
        <f t="shared" si="469"/>
        <v>0</v>
      </c>
      <c r="N3128" s="273">
        <f t="shared" si="469"/>
        <v>0</v>
      </c>
      <c r="O3128" s="273">
        <f t="shared" si="469"/>
        <v>0</v>
      </c>
      <c r="P3128" s="273">
        <f t="shared" si="469"/>
        <v>0</v>
      </c>
      <c r="Q3128" s="273">
        <f t="shared" si="469"/>
        <v>0</v>
      </c>
      <c r="R3128" s="273">
        <f t="shared" si="469"/>
        <v>0</v>
      </c>
      <c r="S3128" s="273">
        <f t="shared" si="469"/>
        <v>0</v>
      </c>
      <c r="T3128" s="265"/>
    </row>
    <row r="3129" spans="1:20">
      <c r="A3129" s="285" t="s">
        <v>56</v>
      </c>
      <c r="B3129" s="273">
        <f t="shared" ref="B3129:J3129" si="470">(1-B2454)*B$2957</f>
        <v>0</v>
      </c>
      <c r="C3129" s="273">
        <f t="shared" si="470"/>
        <v>0.27973056930365625</v>
      </c>
      <c r="D3129" s="273">
        <f t="shared" si="470"/>
        <v>3.9620827831789385E-2</v>
      </c>
      <c r="E3129" s="273">
        <f t="shared" si="470"/>
        <v>0.10002265998707013</v>
      </c>
      <c r="F3129" s="273">
        <f t="shared" si="470"/>
        <v>1.9100204929253128E-2</v>
      </c>
      <c r="G3129" s="273">
        <f t="shared" si="470"/>
        <v>0</v>
      </c>
      <c r="H3129" s="273">
        <f t="shared" si="470"/>
        <v>6.8023609547551628E-2</v>
      </c>
      <c r="I3129" s="273">
        <f t="shared" si="470"/>
        <v>7.628361422986233E-3</v>
      </c>
      <c r="J3129" s="273">
        <f t="shared" si="470"/>
        <v>0</v>
      </c>
      <c r="K3129" s="273">
        <f t="shared" ref="K3129:S3129" si="471">(1-B2454)*K$2957</f>
        <v>8.5083687297641222E-2</v>
      </c>
      <c r="L3129" s="273">
        <f t="shared" si="471"/>
        <v>0.18421982900053827</v>
      </c>
      <c r="M3129" s="273">
        <f t="shared" si="471"/>
        <v>2.6092758278802117E-2</v>
      </c>
      <c r="N3129" s="273">
        <f t="shared" si="471"/>
        <v>6.5871089330229282E-2</v>
      </c>
      <c r="O3129" s="273">
        <f t="shared" si="471"/>
        <v>6.6203488041355049E-2</v>
      </c>
      <c r="P3129" s="273">
        <f t="shared" si="471"/>
        <v>0</v>
      </c>
      <c r="Q3129" s="273">
        <f t="shared" si="471"/>
        <v>0.23577758656996964</v>
      </c>
      <c r="R3129" s="273">
        <f t="shared" si="471"/>
        <v>0.10047492774172513</v>
      </c>
      <c r="S3129" s="273">
        <f t="shared" si="471"/>
        <v>0</v>
      </c>
      <c r="T3129" s="265"/>
    </row>
    <row r="3130" spans="1:20">
      <c r="A3130" s="285" t="s">
        <v>57</v>
      </c>
      <c r="B3130" s="273">
        <f t="shared" ref="B3130:J3130" si="472">(1-B2455)*B$2958</f>
        <v>0</v>
      </c>
      <c r="C3130" s="273">
        <f t="shared" si="472"/>
        <v>0.23653664223571574</v>
      </c>
      <c r="D3130" s="273">
        <f t="shared" si="472"/>
        <v>3.3502872429210614E-2</v>
      </c>
      <c r="E3130" s="273">
        <f t="shared" si="472"/>
        <v>8.4577900083360691E-2</v>
      </c>
      <c r="F3130" s="273">
        <f t="shared" si="472"/>
        <v>1.6150892450639814E-2</v>
      </c>
      <c r="G3130" s="273">
        <f t="shared" si="472"/>
        <v>0</v>
      </c>
      <c r="H3130" s="273">
        <f t="shared" si="472"/>
        <v>5.7519906512845054E-2</v>
      </c>
      <c r="I3130" s="273">
        <f t="shared" si="472"/>
        <v>6.4504462320487789E-3</v>
      </c>
      <c r="J3130" s="273">
        <f t="shared" si="472"/>
        <v>0</v>
      </c>
      <c r="K3130" s="273">
        <f t="shared" ref="K3130:S3130" si="473">(1-B2455)*K$2958</f>
        <v>7.1945693145073847E-2</v>
      </c>
      <c r="L3130" s="273">
        <f t="shared" si="473"/>
        <v>0.15577396454558851</v>
      </c>
      <c r="M3130" s="273">
        <f t="shared" si="473"/>
        <v>2.206370739279568E-2</v>
      </c>
      <c r="N3130" s="273">
        <f t="shared" si="473"/>
        <v>5.5699762558548735E-2</v>
      </c>
      <c r="O3130" s="273">
        <f t="shared" si="473"/>
        <v>5.5980834717408195E-2</v>
      </c>
      <c r="P3130" s="273">
        <f t="shared" si="473"/>
        <v>0</v>
      </c>
      <c r="Q3130" s="273">
        <f t="shared" si="473"/>
        <v>0.19937055424629432</v>
      </c>
      <c r="R3130" s="273">
        <f t="shared" si="473"/>
        <v>8.4960331993980565E-2</v>
      </c>
      <c r="S3130" s="273">
        <f t="shared" si="473"/>
        <v>0</v>
      </c>
      <c r="T3130" s="265"/>
    </row>
    <row r="3131" spans="1:20">
      <c r="A3131" s="285" t="s">
        <v>92</v>
      </c>
      <c r="B3131" s="273">
        <f t="shared" ref="B3131:J3131" si="474">(1-B2456)*B$2959</f>
        <v>0</v>
      </c>
      <c r="C3131" s="273">
        <f t="shared" si="474"/>
        <v>0</v>
      </c>
      <c r="D3131" s="273">
        <f t="shared" si="474"/>
        <v>0</v>
      </c>
      <c r="E3131" s="273">
        <f t="shared" si="474"/>
        <v>0</v>
      </c>
      <c r="F3131" s="273">
        <f t="shared" si="474"/>
        <v>0</v>
      </c>
      <c r="G3131" s="273">
        <f t="shared" si="474"/>
        <v>0</v>
      </c>
      <c r="H3131" s="273">
        <f t="shared" si="474"/>
        <v>0</v>
      </c>
      <c r="I3131" s="273">
        <f t="shared" si="474"/>
        <v>0</v>
      </c>
      <c r="J3131" s="273">
        <f t="shared" si="474"/>
        <v>0</v>
      </c>
      <c r="K3131" s="273">
        <f t="shared" ref="K3131:S3131" si="475">(1-B2456)*K$2959</f>
        <v>0</v>
      </c>
      <c r="L3131" s="273">
        <f t="shared" si="475"/>
        <v>0</v>
      </c>
      <c r="M3131" s="273">
        <f t="shared" si="475"/>
        <v>0</v>
      </c>
      <c r="N3131" s="273">
        <f t="shared" si="475"/>
        <v>0</v>
      </c>
      <c r="O3131" s="273">
        <f t="shared" si="475"/>
        <v>0</v>
      </c>
      <c r="P3131" s="273">
        <f t="shared" si="475"/>
        <v>0</v>
      </c>
      <c r="Q3131" s="273">
        <f t="shared" si="475"/>
        <v>0</v>
      </c>
      <c r="R3131" s="273">
        <f t="shared" si="475"/>
        <v>0</v>
      </c>
      <c r="S3131" s="273">
        <f t="shared" si="475"/>
        <v>0</v>
      </c>
      <c r="T3131" s="265"/>
    </row>
    <row r="3132" spans="1:20">
      <c r="A3132" s="285" t="s">
        <v>58</v>
      </c>
      <c r="B3132" s="273">
        <f t="shared" ref="B3132:J3132" si="476">(1-B2457)*B$2960</f>
        <v>0</v>
      </c>
      <c r="C3132" s="273">
        <f t="shared" si="476"/>
        <v>0.2492405171151357</v>
      </c>
      <c r="D3132" s="273">
        <f t="shared" si="476"/>
        <v>3.5302239729849479E-2</v>
      </c>
      <c r="E3132" s="273">
        <f t="shared" si="476"/>
        <v>8.9120397389771094E-2</v>
      </c>
      <c r="F3132" s="273">
        <f t="shared" si="476"/>
        <v>1.7018322185604218E-2</v>
      </c>
      <c r="G3132" s="273">
        <f t="shared" si="476"/>
        <v>0</v>
      </c>
      <c r="H3132" s="273">
        <f t="shared" si="476"/>
        <v>6.0609177115946496E-2</v>
      </c>
      <c r="I3132" s="273">
        <f t="shared" si="476"/>
        <v>6.7968858410405756E-3</v>
      </c>
      <c r="J3132" s="273">
        <f t="shared" si="476"/>
        <v>0</v>
      </c>
      <c r="K3132" s="273">
        <f t="shared" ref="K3132:S3132" si="477">(1-B2457)*K$2960</f>
        <v>7.5809741755848273E-2</v>
      </c>
      <c r="L3132" s="273">
        <f t="shared" si="477"/>
        <v>0.16414024951671913</v>
      </c>
      <c r="M3132" s="273">
        <f t="shared" si="477"/>
        <v>2.3248701715218201E-2</v>
      </c>
      <c r="N3132" s="273">
        <f t="shared" si="477"/>
        <v>5.8691277140260172E-2</v>
      </c>
      <c r="O3132" s="273">
        <f t="shared" si="477"/>
        <v>5.8987445080916863E-2</v>
      </c>
      <c r="P3132" s="273">
        <f t="shared" si="477"/>
        <v>0</v>
      </c>
      <c r="Q3132" s="273">
        <f t="shared" si="477"/>
        <v>0.21007831838738478</v>
      </c>
      <c r="R3132" s="273">
        <f t="shared" si="477"/>
        <v>8.9523368896694072E-2</v>
      </c>
      <c r="S3132" s="273">
        <f t="shared" si="477"/>
        <v>0</v>
      </c>
      <c r="T3132" s="265"/>
    </row>
    <row r="3133" spans="1:20">
      <c r="A3133" s="285" t="s">
        <v>59</v>
      </c>
      <c r="B3133" s="273">
        <f t="shared" ref="B3133:J3133" si="478">(1-B2458)*B$2961</f>
        <v>0</v>
      </c>
      <c r="C3133" s="273">
        <f t="shared" si="478"/>
        <v>0.23776386639831976</v>
      </c>
      <c r="D3133" s="273">
        <f t="shared" si="478"/>
        <v>3.3676695538277977E-2</v>
      </c>
      <c r="E3133" s="273">
        <f t="shared" si="478"/>
        <v>8.5016715996293013E-2</v>
      </c>
      <c r="F3133" s="273">
        <f t="shared" si="478"/>
        <v>1.6234688201165821E-2</v>
      </c>
      <c r="G3133" s="273">
        <f t="shared" si="478"/>
        <v>0</v>
      </c>
      <c r="H3133" s="273">
        <f t="shared" si="478"/>
        <v>5.7818337311710211E-2</v>
      </c>
      <c r="I3133" s="273">
        <f t="shared" si="478"/>
        <v>0</v>
      </c>
      <c r="J3133" s="273">
        <f t="shared" si="478"/>
        <v>0</v>
      </c>
      <c r="K3133" s="273">
        <f t="shared" ref="K3133:S3133" si="479">(1-B2458)*K$2961</f>
        <v>7.231896931991251E-2</v>
      </c>
      <c r="L3133" s="273">
        <f t="shared" si="479"/>
        <v>0.15658216733137281</v>
      </c>
      <c r="M3133" s="273">
        <f t="shared" si="479"/>
        <v>2.2178180628625584E-2</v>
      </c>
      <c r="N3133" s="273">
        <f t="shared" si="479"/>
        <v>5.5988749896058315E-2</v>
      </c>
      <c r="O3133" s="273">
        <f t="shared" si="479"/>
        <v>5.6271280342908722E-2</v>
      </c>
      <c r="P3133" s="273">
        <f t="shared" si="479"/>
        <v>0</v>
      </c>
      <c r="Q3133" s="273">
        <f t="shared" si="479"/>
        <v>0.20040494942147816</v>
      </c>
      <c r="R3133" s="273">
        <f t="shared" si="479"/>
        <v>0</v>
      </c>
      <c r="S3133" s="273">
        <f t="shared" si="479"/>
        <v>0</v>
      </c>
      <c r="T3133" s="265"/>
    </row>
    <row r="3134" spans="1:20">
      <c r="A3134" s="285" t="s">
        <v>72</v>
      </c>
      <c r="B3134" s="273">
        <f t="shared" ref="B3134:J3134" si="480">(1-B2459)*B$2962</f>
        <v>0</v>
      </c>
      <c r="C3134" s="273">
        <f t="shared" si="480"/>
        <v>0.24555815657625771</v>
      </c>
      <c r="D3134" s="273">
        <f t="shared" si="480"/>
        <v>1.1477622072711611E-2</v>
      </c>
      <c r="E3134" s="273">
        <f t="shared" si="480"/>
        <v>2.3180177757271801E-2</v>
      </c>
      <c r="F3134" s="273">
        <f t="shared" si="480"/>
        <v>0</v>
      </c>
      <c r="G3134" s="273">
        <f t="shared" si="480"/>
        <v>0</v>
      </c>
      <c r="H3134" s="273">
        <f t="shared" si="480"/>
        <v>0</v>
      </c>
      <c r="I3134" s="273">
        <f t="shared" si="480"/>
        <v>0</v>
      </c>
      <c r="J3134" s="273">
        <f t="shared" si="480"/>
        <v>0</v>
      </c>
      <c r="K3134" s="273">
        <f t="shared" ref="K3134:S3134" si="481">(1-B2459)*K$2962</f>
        <v>7.4689703951660469E-2</v>
      </c>
      <c r="L3134" s="273">
        <f t="shared" si="481"/>
        <v>0.16171518803531176</v>
      </c>
      <c r="M3134" s="273">
        <f t="shared" si="481"/>
        <v>2.2905217827577578E-2</v>
      </c>
      <c r="N3134" s="273">
        <f t="shared" si="481"/>
        <v>4.6259322484107725E-2</v>
      </c>
      <c r="O3134" s="273">
        <f t="shared" si="481"/>
        <v>0</v>
      </c>
      <c r="P3134" s="273">
        <f t="shared" si="481"/>
        <v>0</v>
      </c>
      <c r="Q3134" s="273">
        <f t="shared" si="481"/>
        <v>0</v>
      </c>
      <c r="R3134" s="273">
        <f t="shared" si="481"/>
        <v>0</v>
      </c>
      <c r="S3134" s="273">
        <f t="shared" si="481"/>
        <v>0</v>
      </c>
      <c r="T3134" s="265"/>
    </row>
    <row r="3135" spans="1:20">
      <c r="A3135" s="285" t="s">
        <v>1178</v>
      </c>
      <c r="B3135" s="273">
        <f t="shared" ref="B3135:J3135" si="482">(1-B2460)*B$2963</f>
        <v>0</v>
      </c>
      <c r="C3135" s="273">
        <f t="shared" si="482"/>
        <v>0.36497679729075505</v>
      </c>
      <c r="D3135" s="273">
        <f t="shared" si="482"/>
        <v>5.1695039566295592E-2</v>
      </c>
      <c r="E3135" s="273">
        <f t="shared" si="482"/>
        <v>0.13050397097985619</v>
      </c>
      <c r="F3135" s="273">
        <f t="shared" si="482"/>
        <v>2.4920878830044905E-2</v>
      </c>
      <c r="G3135" s="273">
        <f t="shared" si="482"/>
        <v>0</v>
      </c>
      <c r="H3135" s="273">
        <f t="shared" si="482"/>
        <v>8.8753400154388165E-2</v>
      </c>
      <c r="I3135" s="273">
        <f t="shared" si="482"/>
        <v>9.9530592157611245E-3</v>
      </c>
      <c r="J3135" s="273">
        <f t="shared" si="482"/>
        <v>0</v>
      </c>
      <c r="K3135" s="273">
        <f t="shared" ref="K3135:S3135" si="483">(1-B2460)*K$2963</f>
        <v>0.11101243517604815</v>
      </c>
      <c r="L3135" s="273">
        <f t="shared" si="483"/>
        <v>0.24035972669501229</v>
      </c>
      <c r="M3135" s="273">
        <f t="shared" si="483"/>
        <v>3.4044371241890421E-2</v>
      </c>
      <c r="N3135" s="273">
        <f t="shared" si="483"/>
        <v>8.5944912197646162E-2</v>
      </c>
      <c r="O3135" s="273">
        <f t="shared" si="483"/>
        <v>8.6378607439865321E-2</v>
      </c>
      <c r="P3135" s="273">
        <f t="shared" si="483"/>
        <v>0</v>
      </c>
      <c r="Q3135" s="273">
        <f t="shared" si="483"/>
        <v>0.3076294043710241</v>
      </c>
      <c r="R3135" s="273">
        <f t="shared" si="483"/>
        <v>0.13109406464399442</v>
      </c>
      <c r="S3135" s="273">
        <f t="shared" si="483"/>
        <v>0</v>
      </c>
      <c r="T3135" s="265"/>
    </row>
    <row r="3136" spans="1:20">
      <c r="A3136" s="285" t="s">
        <v>1177</v>
      </c>
      <c r="B3136" s="273">
        <f t="shared" ref="B3136:J3136" si="484">(1-B2461)*B$2964</f>
        <v>0</v>
      </c>
      <c r="C3136" s="273">
        <f t="shared" si="484"/>
        <v>0.27457966173341281</v>
      </c>
      <c r="D3136" s="273">
        <f t="shared" si="484"/>
        <v>3.8891257150522378E-2</v>
      </c>
      <c r="E3136" s="273">
        <f t="shared" si="484"/>
        <v>9.8180861009554685E-2</v>
      </c>
      <c r="F3136" s="273">
        <f t="shared" si="484"/>
        <v>1.8748497247078087E-2</v>
      </c>
      <c r="G3136" s="273">
        <f t="shared" si="484"/>
        <v>0</v>
      </c>
      <c r="H3136" s="273">
        <f t="shared" si="484"/>
        <v>6.6771035235612841E-2</v>
      </c>
      <c r="I3136" s="273">
        <f t="shared" si="484"/>
        <v>7.4878941701578177E-3</v>
      </c>
      <c r="J3136" s="273">
        <f t="shared" si="484"/>
        <v>0</v>
      </c>
      <c r="K3136" s="273">
        <f t="shared" ref="K3136:S3136" si="485">(1-B2461)*K$2964</f>
        <v>8.3516971832482648E-2</v>
      </c>
      <c r="L3136" s="273">
        <f t="shared" si="485"/>
        <v>0.1808276387434993</v>
      </c>
      <c r="M3136" s="273">
        <f t="shared" si="485"/>
        <v>2.5612290997441393E-2</v>
      </c>
      <c r="N3136" s="273">
        <f t="shared" si="485"/>
        <v>6.4658151132105698E-2</v>
      </c>
      <c r="O3136" s="273">
        <f t="shared" si="485"/>
        <v>6.4984429114125095E-2</v>
      </c>
      <c r="P3136" s="273">
        <f t="shared" si="485"/>
        <v>0</v>
      </c>
      <c r="Q3136" s="273">
        <f t="shared" si="485"/>
        <v>0.23143602118946721</v>
      </c>
      <c r="R3136" s="273">
        <f t="shared" si="485"/>
        <v>9.8624800788447056E-2</v>
      </c>
      <c r="S3136" s="273">
        <f t="shared" si="485"/>
        <v>0</v>
      </c>
      <c r="T3136" s="265"/>
    </row>
    <row r="3137" spans="1:20">
      <c r="A3137" s="285" t="s">
        <v>60</v>
      </c>
      <c r="B3137" s="273">
        <f t="shared" ref="B3137:J3137" si="486">(1-B2462)*B$2965</f>
        <v>0</v>
      </c>
      <c r="C3137" s="273">
        <f t="shared" si="486"/>
        <v>0.23558701873238122</v>
      </c>
      <c r="D3137" s="273">
        <f t="shared" si="486"/>
        <v>3.336836846911681E-2</v>
      </c>
      <c r="E3137" s="273">
        <f t="shared" si="486"/>
        <v>8.4238345243050614E-2</v>
      </c>
      <c r="F3137" s="273">
        <f t="shared" si="486"/>
        <v>1.6086051473250484E-2</v>
      </c>
      <c r="G3137" s="273">
        <f t="shared" si="486"/>
        <v>0</v>
      </c>
      <c r="H3137" s="273">
        <f t="shared" si="486"/>
        <v>4.5831185105342065E-2</v>
      </c>
      <c r="I3137" s="273">
        <f t="shared" si="486"/>
        <v>0</v>
      </c>
      <c r="J3137" s="273">
        <f t="shared" si="486"/>
        <v>0</v>
      </c>
      <c r="K3137" s="273">
        <f t="shared" ref="K3137:S3137" si="487">(1-B2462)*K$2965</f>
        <v>7.1656852817721231E-2</v>
      </c>
      <c r="L3137" s="273">
        <f t="shared" si="487"/>
        <v>0.15514857891170999</v>
      </c>
      <c r="M3137" s="273">
        <f t="shared" si="487"/>
        <v>2.1975128241113914E-2</v>
      </c>
      <c r="N3137" s="273">
        <f t="shared" si="487"/>
        <v>5.5476144758127628E-2</v>
      </c>
      <c r="O3137" s="273">
        <f t="shared" si="487"/>
        <v>5.5756088496774214E-2</v>
      </c>
      <c r="P3137" s="273">
        <f t="shared" si="487"/>
        <v>0</v>
      </c>
      <c r="Q3137" s="273">
        <f t="shared" si="487"/>
        <v>0.15885611312973955</v>
      </c>
      <c r="R3137" s="273">
        <f t="shared" si="487"/>
        <v>0</v>
      </c>
      <c r="S3137" s="273">
        <f t="shared" si="487"/>
        <v>0</v>
      </c>
      <c r="T3137" s="265"/>
    </row>
    <row r="3138" spans="1:20">
      <c r="A3138" s="285" t="s">
        <v>61</v>
      </c>
      <c r="B3138" s="273">
        <f t="shared" ref="B3138:J3138" si="488">(1-B2463)*B$2966</f>
        <v>0</v>
      </c>
      <c r="C3138" s="273">
        <f t="shared" si="488"/>
        <v>0.21316507213008473</v>
      </c>
      <c r="D3138" s="273">
        <f t="shared" si="488"/>
        <v>3.0192540785375862E-2</v>
      </c>
      <c r="E3138" s="273">
        <f t="shared" si="488"/>
        <v>7.6220977864030884E-2</v>
      </c>
      <c r="F3138" s="273">
        <f t="shared" si="488"/>
        <v>1.455506479530989E-2</v>
      </c>
      <c r="G3138" s="273">
        <f t="shared" si="488"/>
        <v>0</v>
      </c>
      <c r="H3138" s="273">
        <f t="shared" si="488"/>
        <v>0</v>
      </c>
      <c r="I3138" s="273">
        <f t="shared" si="488"/>
        <v>0</v>
      </c>
      <c r="J3138" s="273">
        <f t="shared" si="488"/>
        <v>0</v>
      </c>
      <c r="K3138" s="273">
        <f t="shared" ref="K3138:S3138" si="489">(1-B2463)*K$2966</f>
        <v>6.4836926421892482E-2</v>
      </c>
      <c r="L3138" s="273">
        <f t="shared" si="489"/>
        <v>0.14038234446255185</v>
      </c>
      <c r="M3138" s="273">
        <f t="shared" si="489"/>
        <v>1.9883649879309122E-2</v>
      </c>
      <c r="N3138" s="273">
        <f t="shared" si="489"/>
        <v>5.0196213961596681E-2</v>
      </c>
      <c r="O3138" s="273">
        <f t="shared" si="489"/>
        <v>5.0449514111842869E-2</v>
      </c>
      <c r="P3138" s="273">
        <f t="shared" si="489"/>
        <v>0</v>
      </c>
      <c r="Q3138" s="273">
        <f t="shared" si="489"/>
        <v>0</v>
      </c>
      <c r="R3138" s="273">
        <f t="shared" si="489"/>
        <v>0</v>
      </c>
      <c r="S3138" s="273">
        <f t="shared" si="489"/>
        <v>0</v>
      </c>
      <c r="T3138" s="265"/>
    </row>
    <row r="3139" spans="1:20">
      <c r="A3139" s="285" t="s">
        <v>73</v>
      </c>
      <c r="B3139" s="273">
        <f t="shared" ref="B3139:J3139" si="490">(1-B2464)*B$2967</f>
        <v>0</v>
      </c>
      <c r="C3139" s="273">
        <f t="shared" si="490"/>
        <v>0.18653552534460066</v>
      </c>
      <c r="D3139" s="273">
        <f t="shared" si="490"/>
        <v>8.7188480842629434E-3</v>
      </c>
      <c r="E3139" s="273">
        <f t="shared" si="490"/>
        <v>1.7608564487619181E-2</v>
      </c>
      <c r="F3139" s="273">
        <f t="shared" si="490"/>
        <v>0</v>
      </c>
      <c r="G3139" s="273">
        <f t="shared" si="490"/>
        <v>0</v>
      </c>
      <c r="H3139" s="273">
        <f t="shared" si="490"/>
        <v>0</v>
      </c>
      <c r="I3139" s="273">
        <f t="shared" si="490"/>
        <v>0</v>
      </c>
      <c r="J3139" s="273">
        <f t="shared" si="490"/>
        <v>0</v>
      </c>
      <c r="K3139" s="273">
        <f t="shared" ref="K3139:S3139" si="491">(1-B2464)*K$2967</f>
        <v>5.673720375942401E-2</v>
      </c>
      <c r="L3139" s="273">
        <f t="shared" si="491"/>
        <v>0.12284514583819119</v>
      </c>
      <c r="M3139" s="273">
        <f t="shared" si="491"/>
        <v>1.739969423199687E-2</v>
      </c>
      <c r="N3139" s="273">
        <f t="shared" si="491"/>
        <v>3.5140380356205383E-2</v>
      </c>
      <c r="O3139" s="273">
        <f t="shared" si="491"/>
        <v>0</v>
      </c>
      <c r="P3139" s="273">
        <f t="shared" si="491"/>
        <v>0</v>
      </c>
      <c r="Q3139" s="273">
        <f t="shared" si="491"/>
        <v>0</v>
      </c>
      <c r="R3139" s="273">
        <f t="shared" si="491"/>
        <v>0</v>
      </c>
      <c r="S3139" s="273">
        <f t="shared" si="491"/>
        <v>0</v>
      </c>
      <c r="T3139" s="265"/>
    </row>
    <row r="3140" spans="1:20">
      <c r="A3140" s="285" t="s">
        <v>93</v>
      </c>
      <c r="B3140" s="273">
        <f t="shared" ref="B3140:J3140" si="492">(1-B2465)*B$2968</f>
        <v>0</v>
      </c>
      <c r="C3140" s="273">
        <f t="shared" si="492"/>
        <v>0.17232463951343183</v>
      </c>
      <c r="D3140" s="273">
        <f t="shared" si="492"/>
        <v>2.440793257001966E-2</v>
      </c>
      <c r="E3140" s="273">
        <f t="shared" si="492"/>
        <v>6.1617751925910555E-2</v>
      </c>
      <c r="F3140" s="273">
        <f t="shared" si="492"/>
        <v>1.1766450614459882E-2</v>
      </c>
      <c r="G3140" s="273">
        <f t="shared" si="492"/>
        <v>0</v>
      </c>
      <c r="H3140" s="273">
        <f t="shared" si="492"/>
        <v>4.1905123286541911E-2</v>
      </c>
      <c r="I3140" s="273">
        <f t="shared" si="492"/>
        <v>4.6993599432719928E-3</v>
      </c>
      <c r="J3140" s="273">
        <f t="shared" si="492"/>
        <v>1.0092984319292144E-2</v>
      </c>
      <c r="K3140" s="273">
        <f t="shared" ref="K3140:S3140" si="493">(1-B2465)*K$2968</f>
        <v>5.2414778186518129E-2</v>
      </c>
      <c r="L3140" s="273">
        <f t="shared" si="493"/>
        <v>0.11348640122804367</v>
      </c>
      <c r="M3140" s="273">
        <f t="shared" si="493"/>
        <v>1.6074128671381204E-2</v>
      </c>
      <c r="N3140" s="273">
        <f t="shared" si="493"/>
        <v>4.0579089198030167E-2</v>
      </c>
      <c r="O3140" s="273">
        <f t="shared" si="493"/>
        <v>4.0783859410352931E-2</v>
      </c>
      <c r="P3140" s="273">
        <f t="shared" si="493"/>
        <v>0</v>
      </c>
      <c r="Q3140" s="273">
        <f t="shared" si="493"/>
        <v>0.14524793522624099</v>
      </c>
      <c r="R3140" s="273">
        <f t="shared" si="493"/>
        <v>6.1896366015098188E-2</v>
      </c>
      <c r="S3140" s="273">
        <f t="shared" si="493"/>
        <v>0.13293705082241136</v>
      </c>
      <c r="T3140" s="265"/>
    </row>
    <row r="3141" spans="1:20">
      <c r="A3141" s="285" t="s">
        <v>94</v>
      </c>
      <c r="B3141" s="273">
        <f t="shared" ref="B3141:J3141" si="494">(1-B2466)*B$2969</f>
        <v>0</v>
      </c>
      <c r="C3141" s="273">
        <f t="shared" si="494"/>
        <v>0.35697307527106636</v>
      </c>
      <c r="D3141" s="273">
        <f t="shared" si="494"/>
        <v>5.0561398388125504E-2</v>
      </c>
      <c r="E3141" s="273">
        <f t="shared" si="494"/>
        <v>0.12764209725543918</v>
      </c>
      <c r="F3141" s="273">
        <f t="shared" si="494"/>
        <v>2.4374378920673612E-2</v>
      </c>
      <c r="G3141" s="273">
        <f t="shared" si="494"/>
        <v>0</v>
      </c>
      <c r="H3141" s="273">
        <f t="shared" si="494"/>
        <v>8.6807091379663456E-2</v>
      </c>
      <c r="I3141" s="273">
        <f t="shared" si="494"/>
        <v>9.7347946033260711E-3</v>
      </c>
      <c r="J3141" s="273">
        <f t="shared" si="494"/>
        <v>2.090776839164394E-2</v>
      </c>
      <c r="K3141" s="273">
        <f t="shared" ref="K3141:S3141" si="495">(1-B2466)*K$2969</f>
        <v>0.10857799912840542</v>
      </c>
      <c r="L3141" s="273">
        <f t="shared" si="495"/>
        <v>0.23508878220901888</v>
      </c>
      <c r="M3141" s="273">
        <f t="shared" si="495"/>
        <v>3.329779862199287E-2</v>
      </c>
      <c r="N3141" s="273">
        <f t="shared" si="495"/>
        <v>8.4060191877497914E-2</v>
      </c>
      <c r="O3141" s="273">
        <f t="shared" si="495"/>
        <v>8.4484376443461087E-2</v>
      </c>
      <c r="P3141" s="273">
        <f t="shared" si="495"/>
        <v>0</v>
      </c>
      <c r="Q3141" s="273">
        <f t="shared" si="495"/>
        <v>0.3008832762446747</v>
      </c>
      <c r="R3141" s="273">
        <f t="shared" si="495"/>
        <v>0.12821925051983582</v>
      </c>
      <c r="S3141" s="273">
        <f t="shared" si="495"/>
        <v>0.27538109456392246</v>
      </c>
      <c r="T3141" s="265"/>
    </row>
    <row r="3142" spans="1:20">
      <c r="A3142" s="285" t="s">
        <v>95</v>
      </c>
      <c r="B3142" s="273">
        <f t="shared" ref="B3142:J3142" si="496">(1-B2467)*B$2970</f>
        <v>0</v>
      </c>
      <c r="C3142" s="273">
        <f t="shared" si="496"/>
        <v>0.61600854063631738</v>
      </c>
      <c r="D3142" s="273">
        <f t="shared" si="496"/>
        <v>8.7250987234681013E-2</v>
      </c>
      <c r="E3142" s="273">
        <f t="shared" si="496"/>
        <v>0.22026485329285853</v>
      </c>
      <c r="F3142" s="273">
        <f t="shared" si="496"/>
        <v>4.2061507233954014E-2</v>
      </c>
      <c r="G3142" s="273">
        <f t="shared" si="496"/>
        <v>0</v>
      </c>
      <c r="H3142" s="273">
        <f t="shared" si="496"/>
        <v>0.14979815953084052</v>
      </c>
      <c r="I3142" s="273">
        <f t="shared" si="496"/>
        <v>1.6798792492782835E-2</v>
      </c>
      <c r="J3142" s="273">
        <f t="shared" si="496"/>
        <v>3.6079370650346124E-2</v>
      </c>
      <c r="K3142" s="273">
        <f t="shared" ref="K3142:S3142" si="497">(1-B2467)*K$2970</f>
        <v>0.18736700166395318</v>
      </c>
      <c r="L3142" s="273">
        <f t="shared" si="497"/>
        <v>0.4056796091374138</v>
      </c>
      <c r="M3142" s="273">
        <f t="shared" si="497"/>
        <v>5.7460155279106952E-2</v>
      </c>
      <c r="N3142" s="273">
        <f t="shared" si="497"/>
        <v>0.14505798815427737</v>
      </c>
      <c r="O3142" s="273">
        <f t="shared" si="497"/>
        <v>0.14578997981846942</v>
      </c>
      <c r="P3142" s="273">
        <f t="shared" si="497"/>
        <v>0</v>
      </c>
      <c r="Q3142" s="273">
        <f t="shared" si="497"/>
        <v>0.51921750053729854</v>
      </c>
      <c r="R3142" s="273">
        <f t="shared" si="497"/>
        <v>0.22126081451445626</v>
      </c>
      <c r="S3142" s="273">
        <f t="shared" si="497"/>
        <v>0.47520980693667231</v>
      </c>
      <c r="T3142" s="265"/>
    </row>
    <row r="3143" spans="1:20">
      <c r="A3143" s="285" t="s">
        <v>96</v>
      </c>
      <c r="B3143" s="273">
        <f t="shared" ref="B3143:J3143" si="498">(1-B2468)*B$2971</f>
        <v>0</v>
      </c>
      <c r="C3143" s="273">
        <f t="shared" si="498"/>
        <v>0</v>
      </c>
      <c r="D3143" s="273">
        <f t="shared" si="498"/>
        <v>0</v>
      </c>
      <c r="E3143" s="273">
        <f t="shared" si="498"/>
        <v>0</v>
      </c>
      <c r="F3143" s="273">
        <f t="shared" si="498"/>
        <v>0</v>
      </c>
      <c r="G3143" s="273">
        <f t="shared" si="498"/>
        <v>0</v>
      </c>
      <c r="H3143" s="273">
        <f t="shared" si="498"/>
        <v>0</v>
      </c>
      <c r="I3143" s="273">
        <f t="shared" si="498"/>
        <v>0</v>
      </c>
      <c r="J3143" s="273">
        <f t="shared" si="498"/>
        <v>0</v>
      </c>
      <c r="K3143" s="273">
        <f t="shared" ref="K3143:S3143" si="499">(1-B2468)*K$2971</f>
        <v>0</v>
      </c>
      <c r="L3143" s="273">
        <f t="shared" si="499"/>
        <v>0</v>
      </c>
      <c r="M3143" s="273">
        <f t="shared" si="499"/>
        <v>0</v>
      </c>
      <c r="N3143" s="273">
        <f t="shared" si="499"/>
        <v>0</v>
      </c>
      <c r="O3143" s="273">
        <f t="shared" si="499"/>
        <v>0</v>
      </c>
      <c r="P3143" s="273">
        <f t="shared" si="499"/>
        <v>0</v>
      </c>
      <c r="Q3143" s="273">
        <f t="shared" si="499"/>
        <v>0</v>
      </c>
      <c r="R3143" s="273">
        <f t="shared" si="499"/>
        <v>0</v>
      </c>
      <c r="S3143" s="273">
        <f t="shared" si="499"/>
        <v>0</v>
      </c>
      <c r="T3143" s="265"/>
    </row>
    <row r="3144" spans="1:20">
      <c r="A3144" s="285" t="s">
        <v>97</v>
      </c>
      <c r="B3144" s="273">
        <f t="shared" ref="B3144:J3144" si="500">(1-B2469)*B$2972</f>
        <v>0</v>
      </c>
      <c r="C3144" s="273">
        <f t="shared" si="500"/>
        <v>0.36749585606106</v>
      </c>
      <c r="D3144" s="273">
        <f t="shared" si="500"/>
        <v>5.2051837159368321E-2</v>
      </c>
      <c r="E3144" s="273">
        <f t="shared" si="500"/>
        <v>0.13140470542406399</v>
      </c>
      <c r="F3144" s="273">
        <f t="shared" si="500"/>
        <v>2.509288197886568E-2</v>
      </c>
      <c r="G3144" s="273">
        <f t="shared" si="500"/>
        <v>0</v>
      </c>
      <c r="H3144" s="273">
        <f t="shared" si="500"/>
        <v>8.9365973426752079E-2</v>
      </c>
      <c r="I3144" s="273">
        <f t="shared" si="500"/>
        <v>1.0021754928187066E-2</v>
      </c>
      <c r="J3144" s="273">
        <f t="shared" si="500"/>
        <v>2.1524083399228656E-2</v>
      </c>
      <c r="K3144" s="273">
        <f t="shared" ref="K3144:S3144" si="501">(1-B2469)*K$2972</f>
        <v>0.11177863963210938</v>
      </c>
      <c r="L3144" s="273">
        <f t="shared" si="501"/>
        <v>0.24201868222877132</v>
      </c>
      <c r="M3144" s="273">
        <f t="shared" si="501"/>
        <v>3.4279344458251024E-2</v>
      </c>
      <c r="N3144" s="273">
        <f t="shared" si="501"/>
        <v>8.6538101371428339E-2</v>
      </c>
      <c r="O3144" s="273">
        <f t="shared" si="501"/>
        <v>8.6974789965037672E-2</v>
      </c>
      <c r="P3144" s="273">
        <f t="shared" si="501"/>
        <v>0</v>
      </c>
      <c r="Q3144" s="273">
        <f t="shared" si="501"/>
        <v>0.30975265317707673</v>
      </c>
      <c r="R3144" s="273">
        <f t="shared" si="501"/>
        <v>0.13199887189675055</v>
      </c>
      <c r="S3144" s="273">
        <f t="shared" si="501"/>
        <v>0.28349872329433651</v>
      </c>
      <c r="T3144" s="265"/>
    </row>
    <row r="3146" spans="1:20" ht="21" customHeight="1">
      <c r="A3146" s="1" t="s">
        <v>1147</v>
      </c>
    </row>
    <row r="3147" spans="1:20">
      <c r="A3147" s="264" t="s">
        <v>217</v>
      </c>
    </row>
    <row r="3148" spans="1:20">
      <c r="A3148" s="269" t="s">
        <v>671</v>
      </c>
    </row>
    <row r="3149" spans="1:20">
      <c r="A3149" s="269" t="s">
        <v>1146</v>
      </c>
    </row>
    <row r="3150" spans="1:20">
      <c r="A3150" s="264" t="s">
        <v>1141</v>
      </c>
    </row>
    <row r="3152" spans="1:20" ht="30">
      <c r="B3152" s="284" t="s">
        <v>22</v>
      </c>
      <c r="C3152" s="284" t="s">
        <v>182</v>
      </c>
      <c r="D3152" s="284" t="s">
        <v>183</v>
      </c>
      <c r="E3152" s="284" t="s">
        <v>184</v>
      </c>
      <c r="F3152" s="284" t="s">
        <v>185</v>
      </c>
      <c r="G3152" s="284" t="s">
        <v>186</v>
      </c>
      <c r="H3152" s="284" t="s">
        <v>187</v>
      </c>
      <c r="I3152" s="284" t="s">
        <v>188</v>
      </c>
      <c r="J3152" s="284" t="s">
        <v>189</v>
      </c>
      <c r="K3152" s="284" t="s">
        <v>170</v>
      </c>
      <c r="L3152" s="284" t="s">
        <v>567</v>
      </c>
      <c r="M3152" s="284" t="s">
        <v>568</v>
      </c>
      <c r="N3152" s="284" t="s">
        <v>569</v>
      </c>
      <c r="O3152" s="284" t="s">
        <v>570</v>
      </c>
      <c r="P3152" s="284" t="s">
        <v>571</v>
      </c>
      <c r="Q3152" s="284" t="s">
        <v>572</v>
      </c>
      <c r="R3152" s="284" t="s">
        <v>573</v>
      </c>
      <c r="S3152" s="284" t="s">
        <v>574</v>
      </c>
    </row>
    <row r="3153" spans="1:20">
      <c r="A3153" s="285" t="s">
        <v>54</v>
      </c>
      <c r="B3153" s="273">
        <f t="shared" ref="B3153:J3153" si="502">(1-B$2451)*B$2998</f>
        <v>0</v>
      </c>
      <c r="C3153" s="273">
        <f t="shared" si="502"/>
        <v>0.35943043293308596</v>
      </c>
      <c r="D3153" s="273">
        <f t="shared" si="502"/>
        <v>5.0909456682542056E-2</v>
      </c>
      <c r="E3153" s="273">
        <f t="shared" si="502"/>
        <v>0.12096639364132218</v>
      </c>
      <c r="F3153" s="273">
        <f t="shared" si="502"/>
        <v>2.3099594715843694E-2</v>
      </c>
      <c r="G3153" s="273">
        <f t="shared" si="502"/>
        <v>0</v>
      </c>
      <c r="H3153" s="273">
        <f t="shared" si="502"/>
        <v>8.226706558790213E-2</v>
      </c>
      <c r="I3153" s="273">
        <f t="shared" si="502"/>
        <v>9.2256631732301041E-3</v>
      </c>
      <c r="J3153" s="273">
        <f t="shared" si="502"/>
        <v>0</v>
      </c>
      <c r="K3153" s="273">
        <f t="shared" ref="K3153:S3153" si="503">(1-B$2451)*K$2998</f>
        <v>0.11489029765703959</v>
      </c>
      <c r="L3153" s="273">
        <f t="shared" si="503"/>
        <v>0.23670710375827725</v>
      </c>
      <c r="M3153" s="273">
        <f t="shared" si="503"/>
        <v>3.3527016471294267E-2</v>
      </c>
      <c r="N3153" s="273">
        <f t="shared" si="503"/>
        <v>7.9663829401590169E-2</v>
      </c>
      <c r="O3153" s="273">
        <f t="shared" si="503"/>
        <v>8.0065829041882711E-2</v>
      </c>
      <c r="P3153" s="273">
        <f t="shared" si="503"/>
        <v>0</v>
      </c>
      <c r="Q3153" s="273">
        <f t="shared" si="503"/>
        <v>0.28514702920828922</v>
      </c>
      <c r="R3153" s="273">
        <f t="shared" si="503"/>
        <v>0.12151336169084165</v>
      </c>
      <c r="S3153" s="273">
        <f t="shared" si="503"/>
        <v>0</v>
      </c>
      <c r="T3153" s="265"/>
    </row>
    <row r="3154" spans="1:20">
      <c r="A3154" s="285" t="s">
        <v>55</v>
      </c>
      <c r="B3154" s="273">
        <f t="shared" ref="B3154:J3154" si="504">(1-B$2452)*B$2999</f>
        <v>0</v>
      </c>
      <c r="C3154" s="273">
        <f t="shared" si="504"/>
        <v>0.44822645013097662</v>
      </c>
      <c r="D3154" s="273">
        <f t="shared" si="504"/>
        <v>6.3486457895903042E-2</v>
      </c>
      <c r="E3154" s="273">
        <f t="shared" si="504"/>
        <v>0.14887244058183499</v>
      </c>
      <c r="F3154" s="273">
        <f t="shared" si="504"/>
        <v>2.8428499340036394E-2</v>
      </c>
      <c r="G3154" s="273">
        <f t="shared" si="504"/>
        <v>0</v>
      </c>
      <c r="H3154" s="273">
        <f t="shared" si="504"/>
        <v>0.10124546549590775</v>
      </c>
      <c r="I3154" s="273">
        <f t="shared" si="504"/>
        <v>1.1353955022062852E-2</v>
      </c>
      <c r="J3154" s="273">
        <f t="shared" si="504"/>
        <v>0</v>
      </c>
      <c r="K3154" s="273">
        <f t="shared" ref="K3154:S3154" si="505">(1-B$2452)*K$2999</f>
        <v>0.14561995537414368</v>
      </c>
      <c r="L3154" s="273">
        <f t="shared" si="505"/>
        <v>0.2951847565398264</v>
      </c>
      <c r="M3154" s="273">
        <f t="shared" si="505"/>
        <v>4.1809747309874204E-2</v>
      </c>
      <c r="N3154" s="273">
        <f t="shared" si="505"/>
        <v>9.8041682091267832E-2</v>
      </c>
      <c r="O3154" s="273">
        <f t="shared" si="505"/>
        <v>9.8536420057424148E-2</v>
      </c>
      <c r="P3154" s="273">
        <f t="shared" si="505"/>
        <v>0</v>
      </c>
      <c r="Q3154" s="273">
        <f t="shared" si="505"/>
        <v>0.35092832715810318</v>
      </c>
      <c r="R3154" s="273">
        <f t="shared" si="505"/>
        <v>0.14954559009056295</v>
      </c>
      <c r="S3154" s="273">
        <f t="shared" si="505"/>
        <v>0</v>
      </c>
      <c r="T3154" s="265"/>
    </row>
    <row r="3155" spans="1:20">
      <c r="A3155" s="285" t="s">
        <v>91</v>
      </c>
      <c r="B3155" s="273">
        <f t="shared" ref="B3155:J3155" si="506">(1-B$2453)*B$3000</f>
        <v>0</v>
      </c>
      <c r="C3155" s="273">
        <f t="shared" si="506"/>
        <v>2.5975692799002911E-2</v>
      </c>
      <c r="D3155" s="273">
        <f t="shared" si="506"/>
        <v>3.6791776271099643E-3</v>
      </c>
      <c r="E3155" s="273">
        <f t="shared" si="506"/>
        <v>1.4859288221533143E-2</v>
      </c>
      <c r="F3155" s="273">
        <f t="shared" si="506"/>
        <v>2.8375115215972945E-3</v>
      </c>
      <c r="G3155" s="273">
        <f t="shared" si="506"/>
        <v>0</v>
      </c>
      <c r="H3155" s="273">
        <f t="shared" si="506"/>
        <v>1.0105534288597867E-2</v>
      </c>
      <c r="I3155" s="273">
        <f t="shared" si="506"/>
        <v>1.1332634130788971E-3</v>
      </c>
      <c r="J3155" s="273">
        <f t="shared" si="506"/>
        <v>0</v>
      </c>
      <c r="K3155" s="273">
        <f t="shared" ref="K3155:S3155" si="507">(1-B$2453)*K$3000</f>
        <v>1.1846029458839251E-3</v>
      </c>
      <c r="L3155" s="273">
        <f t="shared" si="507"/>
        <v>1.7106595455458801E-2</v>
      </c>
      <c r="M3155" s="273">
        <f t="shared" si="507"/>
        <v>2.4229653377391691E-3</v>
      </c>
      <c r="N3155" s="273">
        <f t="shared" si="507"/>
        <v>9.785757566842971E-3</v>
      </c>
      <c r="O3155" s="273">
        <f t="shared" si="507"/>
        <v>9.8351384596698822E-3</v>
      </c>
      <c r="P3155" s="273">
        <f t="shared" si="507"/>
        <v>0</v>
      </c>
      <c r="Q3155" s="273">
        <f t="shared" si="507"/>
        <v>3.5026934051479476E-2</v>
      </c>
      <c r="R3155" s="273">
        <f t="shared" si="507"/>
        <v>1.4926476765814939E-2</v>
      </c>
      <c r="S3155" s="273">
        <f t="shared" si="507"/>
        <v>0</v>
      </c>
      <c r="T3155" s="265"/>
    </row>
    <row r="3156" spans="1:20">
      <c r="A3156" s="285" t="s">
        <v>56</v>
      </c>
      <c r="B3156" s="273">
        <f t="shared" ref="B3156:J3156" si="508">(1-B$2454)*B$3001</f>
        <v>0</v>
      </c>
      <c r="C3156" s="273">
        <f t="shared" si="508"/>
        <v>0.28030073497242936</v>
      </c>
      <c r="D3156" s="273">
        <f t="shared" si="508"/>
        <v>3.9701585669069339E-2</v>
      </c>
      <c r="E3156" s="273">
        <f t="shared" si="508"/>
        <v>0.10757158531617356</v>
      </c>
      <c r="F3156" s="273">
        <f t="shared" si="508"/>
        <v>2.0541738485750662E-2</v>
      </c>
      <c r="G3156" s="273">
        <f t="shared" si="508"/>
        <v>0</v>
      </c>
      <c r="H3156" s="273">
        <f t="shared" si="508"/>
        <v>7.3157497700065618E-2</v>
      </c>
      <c r="I3156" s="273">
        <f t="shared" si="508"/>
        <v>8.2040902705591764E-3</v>
      </c>
      <c r="J3156" s="273">
        <f t="shared" si="508"/>
        <v>0</v>
      </c>
      <c r="K3156" s="273">
        <f t="shared" ref="K3156:S3156" si="509">(1-B$2454)*K$3001</f>
        <v>8.4386711264990311E-2</v>
      </c>
      <c r="L3156" s="273">
        <f t="shared" si="509"/>
        <v>0.18459531825173031</v>
      </c>
      <c r="M3156" s="273">
        <f t="shared" si="509"/>
        <v>2.6145942294446892E-2</v>
      </c>
      <c r="N3156" s="273">
        <f t="shared" si="509"/>
        <v>7.084252215120089E-2</v>
      </c>
      <c r="O3156" s="273">
        <f t="shared" si="509"/>
        <v>7.1200007708148425E-2</v>
      </c>
      <c r="P3156" s="273">
        <f t="shared" si="509"/>
        <v>0</v>
      </c>
      <c r="Q3156" s="273">
        <f t="shared" si="509"/>
        <v>0.25357222825939285</v>
      </c>
      <c r="R3156" s="273">
        <f t="shared" si="509"/>
        <v>0.10805798669124114</v>
      </c>
      <c r="S3156" s="273">
        <f t="shared" si="509"/>
        <v>0</v>
      </c>
      <c r="T3156" s="265"/>
    </row>
    <row r="3157" spans="1:20">
      <c r="A3157" s="285" t="s">
        <v>57</v>
      </c>
      <c r="B3157" s="273">
        <f t="shared" ref="B3157:J3157" si="510">(1-B$2455)*B$3002</f>
        <v>0</v>
      </c>
      <c r="C3157" s="273">
        <f t="shared" si="510"/>
        <v>0.33531619624538789</v>
      </c>
      <c r="D3157" s="273">
        <f t="shared" si="510"/>
        <v>4.7493934301571408E-2</v>
      </c>
      <c r="E3157" s="273">
        <f t="shared" si="510"/>
        <v>0.12311327802892948</v>
      </c>
      <c r="F3157" s="273">
        <f t="shared" si="510"/>
        <v>2.3509561135133226E-2</v>
      </c>
      <c r="G3157" s="273">
        <f t="shared" si="510"/>
        <v>0</v>
      </c>
      <c r="H3157" s="273">
        <f t="shared" si="510"/>
        <v>8.3727122992346387E-2</v>
      </c>
      <c r="I3157" s="273">
        <f t="shared" si="510"/>
        <v>9.3893981713210548E-3</v>
      </c>
      <c r="J3157" s="273">
        <f t="shared" si="510"/>
        <v>0</v>
      </c>
      <c r="K3157" s="273">
        <f t="shared" ref="K3157:S3157" si="511">(1-B$2455)*K$3002</f>
        <v>0.10450061364006147</v>
      </c>
      <c r="L3157" s="273">
        <f t="shared" si="511"/>
        <v>0.22082639193566639</v>
      </c>
      <c r="M3157" s="273">
        <f t="shared" si="511"/>
        <v>3.1277684370994194E-2</v>
      </c>
      <c r="N3157" s="273">
        <f t="shared" si="511"/>
        <v>8.107768515483682E-2</v>
      </c>
      <c r="O3157" s="273">
        <f t="shared" si="511"/>
        <v>8.1486819394463866E-2</v>
      </c>
      <c r="P3157" s="273">
        <f t="shared" si="511"/>
        <v>0</v>
      </c>
      <c r="Q3157" s="273">
        <f t="shared" si="511"/>
        <v>0.2902077546441077</v>
      </c>
      <c r="R3157" s="273">
        <f t="shared" si="511"/>
        <v>0.12366995354455323</v>
      </c>
      <c r="S3157" s="273">
        <f t="shared" si="511"/>
        <v>0</v>
      </c>
      <c r="T3157" s="265"/>
    </row>
    <row r="3158" spans="1:20">
      <c r="A3158" s="285" t="s">
        <v>92</v>
      </c>
      <c r="B3158" s="273">
        <f t="shared" ref="B3158:J3158" si="512">(1-B$2456)*B$3003</f>
        <v>0</v>
      </c>
      <c r="C3158" s="273">
        <f t="shared" si="512"/>
        <v>2.7777685060220429E-2</v>
      </c>
      <c r="D3158" s="273">
        <f t="shared" si="512"/>
        <v>3.9344104581646687E-3</v>
      </c>
      <c r="E3158" s="273">
        <f t="shared" si="512"/>
        <v>1.5568435486586638E-2</v>
      </c>
      <c r="F3158" s="273">
        <f t="shared" si="512"/>
        <v>2.9729294167951635E-3</v>
      </c>
      <c r="G3158" s="273">
        <f t="shared" si="512"/>
        <v>0</v>
      </c>
      <c r="H3158" s="273">
        <f t="shared" si="512"/>
        <v>1.0587812571098544E-2</v>
      </c>
      <c r="I3158" s="273">
        <f t="shared" si="512"/>
        <v>1.1873474740371796E-3</v>
      </c>
      <c r="J3158" s="273">
        <f t="shared" si="512"/>
        <v>0</v>
      </c>
      <c r="K3158" s="273">
        <f t="shared" ref="K3158:S3158" si="513">(1-B$2456)*K$3003</f>
        <v>1.8415342915939794E-3</v>
      </c>
      <c r="L3158" s="273">
        <f t="shared" si="513"/>
        <v>1.8293318476286131E-2</v>
      </c>
      <c r="M3158" s="273">
        <f t="shared" si="513"/>
        <v>2.5910518954910329E-3</v>
      </c>
      <c r="N3158" s="273">
        <f t="shared" si="513"/>
        <v>1.0252774769251559E-2</v>
      </c>
      <c r="O3158" s="273">
        <f t="shared" si="513"/>
        <v>1.0304512324428104E-2</v>
      </c>
      <c r="P3158" s="273">
        <f t="shared" si="513"/>
        <v>0</v>
      </c>
      <c r="Q3158" s="273">
        <f t="shared" si="513"/>
        <v>3.6698565566764339E-2</v>
      </c>
      <c r="R3158" s="273">
        <f t="shared" si="513"/>
        <v>1.5638830548684767E-2</v>
      </c>
      <c r="S3158" s="273">
        <f t="shared" si="513"/>
        <v>0</v>
      </c>
      <c r="T3158" s="265"/>
    </row>
    <row r="3159" spans="1:20">
      <c r="A3159" s="285" t="s">
        <v>58</v>
      </c>
      <c r="B3159" s="273">
        <f t="shared" ref="B3159:J3159" si="514">(1-B$2457)*B$3004</f>
        <v>0</v>
      </c>
      <c r="C3159" s="273">
        <f t="shared" si="514"/>
        <v>0.30230307855031369</v>
      </c>
      <c r="D3159" s="273">
        <f t="shared" si="514"/>
        <v>4.2817981095444498E-2</v>
      </c>
      <c r="E3159" s="273">
        <f t="shared" si="514"/>
        <v>0.10989085599308042</v>
      </c>
      <c r="F3159" s="273">
        <f t="shared" si="514"/>
        <v>2.0984623580198813E-2</v>
      </c>
      <c r="G3159" s="273">
        <f t="shared" si="514"/>
        <v>0</v>
      </c>
      <c r="H3159" s="273">
        <f t="shared" si="514"/>
        <v>7.4734791915010437E-2</v>
      </c>
      <c r="I3159" s="273">
        <f t="shared" si="514"/>
        <v>8.380972538671887E-3</v>
      </c>
      <c r="J3159" s="273">
        <f t="shared" si="514"/>
        <v>0</v>
      </c>
      <c r="K3159" s="273">
        <f t="shared" ref="K3159:S3159" si="515">(1-B$2457)*K$3004</f>
        <v>9.4604655684292854E-2</v>
      </c>
      <c r="L3159" s="273">
        <f t="shared" si="515"/>
        <v>0.19908521823519973</v>
      </c>
      <c r="M3159" s="273">
        <f t="shared" si="515"/>
        <v>2.819828084998632E-2</v>
      </c>
      <c r="N3159" s="273">
        <f t="shared" si="515"/>
        <v>7.2369904905861301E-2</v>
      </c>
      <c r="O3159" s="273">
        <f t="shared" si="515"/>
        <v>7.2735097942132565E-2</v>
      </c>
      <c r="P3159" s="273">
        <f t="shared" si="515"/>
        <v>0</v>
      </c>
      <c r="Q3159" s="273">
        <f t="shared" si="515"/>
        <v>0.25903930984744794</v>
      </c>
      <c r="R3159" s="273">
        <f t="shared" si="515"/>
        <v>0.11038774430522423</v>
      </c>
      <c r="S3159" s="273">
        <f t="shared" si="515"/>
        <v>0</v>
      </c>
      <c r="T3159" s="265"/>
    </row>
    <row r="3160" spans="1:20">
      <c r="A3160" s="285" t="s">
        <v>59</v>
      </c>
      <c r="B3160" s="273">
        <f t="shared" ref="B3160:J3160" si="516">(1-B$2458)*B$3005</f>
        <v>0</v>
      </c>
      <c r="C3160" s="273">
        <f t="shared" si="516"/>
        <v>0.29605709140054159</v>
      </c>
      <c r="D3160" s="273">
        <f t="shared" si="516"/>
        <v>4.193330416465095E-2</v>
      </c>
      <c r="E3160" s="273">
        <f t="shared" si="516"/>
        <v>0.1079167069273043</v>
      </c>
      <c r="F3160" s="273">
        <f t="shared" si="516"/>
        <v>2.0607642486893632E-2</v>
      </c>
      <c r="G3160" s="273">
        <f t="shared" si="516"/>
        <v>0</v>
      </c>
      <c r="H3160" s="273">
        <f t="shared" si="516"/>
        <v>7.339220869180503E-2</v>
      </c>
      <c r="I3160" s="273">
        <f t="shared" si="516"/>
        <v>0</v>
      </c>
      <c r="J3160" s="273">
        <f t="shared" si="516"/>
        <v>0</v>
      </c>
      <c r="K3160" s="273">
        <f t="shared" ref="K3160:S3160" si="517">(1-B$2458)*K$3005</f>
        <v>9.2494128578230431E-2</v>
      </c>
      <c r="L3160" s="273">
        <f t="shared" si="517"/>
        <v>0.19497185054880464</v>
      </c>
      <c r="M3160" s="273">
        <f t="shared" si="517"/>
        <v>2.7615666538946926E-2</v>
      </c>
      <c r="N3160" s="273">
        <f t="shared" si="517"/>
        <v>7.1069806013472944E-2</v>
      </c>
      <c r="O3160" s="273">
        <f t="shared" si="517"/>
        <v>7.1428438490315771E-2</v>
      </c>
      <c r="P3160" s="273">
        <f t="shared" si="517"/>
        <v>0</v>
      </c>
      <c r="Q3160" s="273">
        <f t="shared" si="517"/>
        <v>0.25438576331790919</v>
      </c>
      <c r="R3160" s="273">
        <f t="shared" si="517"/>
        <v>0</v>
      </c>
      <c r="S3160" s="273">
        <f t="shared" si="517"/>
        <v>0</v>
      </c>
      <c r="T3160" s="265"/>
    </row>
    <row r="3161" spans="1:20">
      <c r="A3161" s="285" t="s">
        <v>72</v>
      </c>
      <c r="B3161" s="273">
        <f t="shared" ref="B3161:J3161" si="518">(1-B$2459)*B$3006</f>
        <v>0</v>
      </c>
      <c r="C3161" s="273">
        <f t="shared" si="518"/>
        <v>0.30726777417595125</v>
      </c>
      <c r="D3161" s="273">
        <f t="shared" si="518"/>
        <v>1.4361988362702392E-2</v>
      </c>
      <c r="E3161" s="273">
        <f t="shared" si="518"/>
        <v>2.9779006235779754E-2</v>
      </c>
      <c r="F3161" s="273">
        <f t="shared" si="518"/>
        <v>0</v>
      </c>
      <c r="G3161" s="273">
        <f t="shared" si="518"/>
        <v>0</v>
      </c>
      <c r="H3161" s="273">
        <f t="shared" si="518"/>
        <v>0</v>
      </c>
      <c r="I3161" s="273">
        <f t="shared" si="518"/>
        <v>0</v>
      </c>
      <c r="J3161" s="273">
        <f t="shared" si="518"/>
        <v>0</v>
      </c>
      <c r="K3161" s="273">
        <f t="shared" ref="K3161:S3161" si="519">(1-B$2459)*K$3006</f>
        <v>9.5875317601930424E-2</v>
      </c>
      <c r="L3161" s="273">
        <f t="shared" si="519"/>
        <v>0.20235477644427</v>
      </c>
      <c r="M3161" s="273">
        <f t="shared" si="519"/>
        <v>2.8661378620137307E-2</v>
      </c>
      <c r="N3161" s="273">
        <f t="shared" si="519"/>
        <v>5.9428217813603301E-2</v>
      </c>
      <c r="O3161" s="273">
        <f t="shared" si="519"/>
        <v>0</v>
      </c>
      <c r="P3161" s="273">
        <f t="shared" si="519"/>
        <v>0</v>
      </c>
      <c r="Q3161" s="273">
        <f t="shared" si="519"/>
        <v>0</v>
      </c>
      <c r="R3161" s="273">
        <f t="shared" si="519"/>
        <v>0</v>
      </c>
      <c r="S3161" s="273">
        <f t="shared" si="519"/>
        <v>0</v>
      </c>
      <c r="T3161" s="265"/>
    </row>
    <row r="3162" spans="1:20">
      <c r="A3162" s="285" t="s">
        <v>1178</v>
      </c>
      <c r="B3162" s="273">
        <f t="shared" ref="B3162:J3162" si="520">(1-B$2460)*B$3007</f>
        <v>0</v>
      </c>
      <c r="C3162" s="273">
        <f t="shared" si="520"/>
        <v>3.6177148976036433</v>
      </c>
      <c r="D3162" s="273">
        <f t="shared" si="520"/>
        <v>0.51241042214037369</v>
      </c>
      <c r="E3162" s="273">
        <f t="shared" si="520"/>
        <v>0.92338590089450956</v>
      </c>
      <c r="F3162" s="273">
        <f t="shared" si="520"/>
        <v>0.17632864331090631</v>
      </c>
      <c r="G3162" s="273">
        <f t="shared" si="520"/>
        <v>0</v>
      </c>
      <c r="H3162" s="273">
        <f t="shared" si="520"/>
        <v>0.62797812008080955</v>
      </c>
      <c r="I3162" s="273">
        <f t="shared" si="520"/>
        <v>7.042325594843836E-2</v>
      </c>
      <c r="J3162" s="273">
        <f t="shared" si="520"/>
        <v>0</v>
      </c>
      <c r="K3162" s="273">
        <f t="shared" ref="K3162:S3162" si="521">(1-B$2460)*K$3007</f>
        <v>1.3033164131390469</v>
      </c>
      <c r="L3162" s="273">
        <f t="shared" si="521"/>
        <v>2.3824883403636354</v>
      </c>
      <c r="M3162" s="273">
        <f t="shared" si="521"/>
        <v>0.33745385990446836</v>
      </c>
      <c r="N3162" s="273">
        <f t="shared" si="521"/>
        <v>0.60810655477428022</v>
      </c>
      <c r="O3162" s="273">
        <f t="shared" si="521"/>
        <v>0.61117518225697987</v>
      </c>
      <c r="P3162" s="273">
        <f t="shared" si="521"/>
        <v>0</v>
      </c>
      <c r="Q3162" s="273">
        <f t="shared" si="521"/>
        <v>2.176643764660811</v>
      </c>
      <c r="R3162" s="273">
        <f t="shared" si="521"/>
        <v>0.92756113146857788</v>
      </c>
      <c r="S3162" s="273">
        <f t="shared" si="521"/>
        <v>0</v>
      </c>
      <c r="T3162" s="265"/>
    </row>
    <row r="3163" spans="1:20">
      <c r="A3163" s="285" t="s">
        <v>1177</v>
      </c>
      <c r="B3163" s="273">
        <f t="shared" ref="B3163:J3163" si="522">(1-B$2461)*B$3008</f>
        <v>0</v>
      </c>
      <c r="C3163" s="273">
        <f t="shared" si="522"/>
        <v>3.6886217688672533</v>
      </c>
      <c r="D3163" s="273">
        <f t="shared" si="522"/>
        <v>0.52245361815366542</v>
      </c>
      <c r="E3163" s="273">
        <f t="shared" si="522"/>
        <v>0.94180852045107455</v>
      </c>
      <c r="F3163" s="273">
        <f t="shared" si="522"/>
        <v>0.17984660423005749</v>
      </c>
      <c r="G3163" s="273">
        <f t="shared" si="522"/>
        <v>0</v>
      </c>
      <c r="H3163" s="273">
        <f t="shared" si="522"/>
        <v>0.64050701183114767</v>
      </c>
      <c r="I3163" s="273">
        <f t="shared" si="522"/>
        <v>7.1828281573169991E-2</v>
      </c>
      <c r="J3163" s="273">
        <f t="shared" si="522"/>
        <v>0</v>
      </c>
      <c r="K3163" s="273">
        <f t="shared" ref="K3163:S3163" si="523">(1-B$2461)*K$3008</f>
        <v>1.3293357040953808</v>
      </c>
      <c r="L3163" s="273">
        <f t="shared" si="523"/>
        <v>2.4291848874434283</v>
      </c>
      <c r="M3163" s="273">
        <f t="shared" si="523"/>
        <v>0.34406792377597573</v>
      </c>
      <c r="N3163" s="273">
        <f t="shared" si="523"/>
        <v>0.62023898575206282</v>
      </c>
      <c r="O3163" s="273">
        <f t="shared" si="523"/>
        <v>0.62336883591167336</v>
      </c>
      <c r="P3163" s="273">
        <f t="shared" si="523"/>
        <v>0</v>
      </c>
      <c r="Q3163" s="273">
        <f t="shared" si="523"/>
        <v>2.2200703319797084</v>
      </c>
      <c r="R3163" s="273">
        <f t="shared" si="523"/>
        <v>0.94606705171703398</v>
      </c>
      <c r="S3163" s="273">
        <f t="shared" si="523"/>
        <v>0</v>
      </c>
      <c r="T3163" s="265"/>
    </row>
    <row r="3164" spans="1:20">
      <c r="A3164" s="285" t="s">
        <v>60</v>
      </c>
      <c r="B3164" s="273">
        <f t="shared" ref="B3164:J3164" si="524">(1-B$2462)*B$3009</f>
        <v>0</v>
      </c>
      <c r="C3164" s="273">
        <f t="shared" si="524"/>
        <v>2.9116525056041538</v>
      </c>
      <c r="D3164" s="273">
        <f t="shared" si="524"/>
        <v>0.41240427500546506</v>
      </c>
      <c r="E3164" s="273">
        <f t="shared" si="524"/>
        <v>0.7432231092291085</v>
      </c>
      <c r="F3164" s="273">
        <f t="shared" si="524"/>
        <v>0.14192497676294275</v>
      </c>
      <c r="G3164" s="273">
        <f t="shared" si="524"/>
        <v>0</v>
      </c>
      <c r="H3164" s="273">
        <f t="shared" si="524"/>
        <v>0.40436212030716734</v>
      </c>
      <c r="I3164" s="273">
        <f t="shared" si="524"/>
        <v>0</v>
      </c>
      <c r="J3164" s="273">
        <f t="shared" si="524"/>
        <v>0</v>
      </c>
      <c r="K3164" s="273">
        <f t="shared" ref="K3164:S3164" si="525">(1-B$2462)*K$3009</f>
        <v>1.0490365279013563</v>
      </c>
      <c r="L3164" s="273">
        <f t="shared" si="525"/>
        <v>1.9175027170846113</v>
      </c>
      <c r="M3164" s="273">
        <f t="shared" si="525"/>
        <v>0.27159364530562474</v>
      </c>
      <c r="N3164" s="273">
        <f t="shared" si="525"/>
        <v>0.48945824702772345</v>
      </c>
      <c r="O3164" s="273">
        <f t="shared" si="525"/>
        <v>0.49192815138358209</v>
      </c>
      <c r="P3164" s="273">
        <f t="shared" si="525"/>
        <v>0</v>
      </c>
      <c r="Q3164" s="273">
        <f t="shared" si="525"/>
        <v>1.4015652133204271</v>
      </c>
      <c r="R3164" s="273">
        <f t="shared" si="525"/>
        <v>0</v>
      </c>
      <c r="S3164" s="273">
        <f t="shared" si="525"/>
        <v>0</v>
      </c>
      <c r="T3164" s="265"/>
    </row>
    <row r="3165" spans="1:20">
      <c r="A3165" s="285" t="s">
        <v>61</v>
      </c>
      <c r="B3165" s="273">
        <f t="shared" ref="B3165:J3165" si="526">(1-B$2463)*B$3010</f>
        <v>0</v>
      </c>
      <c r="C3165" s="273">
        <f t="shared" si="526"/>
        <v>2.743021471555239</v>
      </c>
      <c r="D3165" s="273">
        <f t="shared" si="526"/>
        <v>0.38851950194050938</v>
      </c>
      <c r="E3165" s="273">
        <f t="shared" si="526"/>
        <v>0.70017865897375453</v>
      </c>
      <c r="F3165" s="273">
        <f t="shared" si="526"/>
        <v>0.13370526113999703</v>
      </c>
      <c r="G3165" s="273">
        <f t="shared" si="526"/>
        <v>0</v>
      </c>
      <c r="H3165" s="273">
        <f t="shared" si="526"/>
        <v>0</v>
      </c>
      <c r="I3165" s="273">
        <f t="shared" si="526"/>
        <v>0</v>
      </c>
      <c r="J3165" s="273">
        <f t="shared" si="526"/>
        <v>0</v>
      </c>
      <c r="K3165" s="273">
        <f t="shared" ref="K3165:S3165" si="527">(1-B$2463)*K$3010</f>
        <v>0.98828061210625229</v>
      </c>
      <c r="L3165" s="273">
        <f t="shared" si="527"/>
        <v>1.806448782814907</v>
      </c>
      <c r="M3165" s="273">
        <f t="shared" si="527"/>
        <v>0.25586404942807728</v>
      </c>
      <c r="N3165" s="273">
        <f t="shared" si="527"/>
        <v>0.46111082227109779</v>
      </c>
      <c r="O3165" s="273">
        <f t="shared" si="527"/>
        <v>0.46343767984347906</v>
      </c>
      <c r="P3165" s="273">
        <f t="shared" si="527"/>
        <v>0</v>
      </c>
      <c r="Q3165" s="273">
        <f t="shared" si="527"/>
        <v>0</v>
      </c>
      <c r="R3165" s="273">
        <f t="shared" si="527"/>
        <v>0</v>
      </c>
      <c r="S3165" s="273">
        <f t="shared" si="527"/>
        <v>0</v>
      </c>
      <c r="T3165" s="265"/>
    </row>
    <row r="3166" spans="1:20">
      <c r="A3166" s="285" t="s">
        <v>73</v>
      </c>
      <c r="B3166" s="273">
        <f t="shared" ref="B3166:J3166" si="528">(1-B$2464)*B$3011</f>
        <v>0</v>
      </c>
      <c r="C3166" s="273">
        <f t="shared" si="528"/>
        <v>2.4938612352087692</v>
      </c>
      <c r="D3166" s="273">
        <f t="shared" si="528"/>
        <v>0.11656544892909307</v>
      </c>
      <c r="E3166" s="273">
        <f t="shared" si="528"/>
        <v>0.16805671644527814</v>
      </c>
      <c r="F3166" s="273">
        <f t="shared" si="528"/>
        <v>0</v>
      </c>
      <c r="G3166" s="273">
        <f t="shared" si="528"/>
        <v>0</v>
      </c>
      <c r="H3166" s="273">
        <f t="shared" si="528"/>
        <v>0</v>
      </c>
      <c r="I3166" s="273">
        <f t="shared" si="528"/>
        <v>0</v>
      </c>
      <c r="J3166" s="273">
        <f t="shared" si="528"/>
        <v>0</v>
      </c>
      <c r="K3166" s="273">
        <f t="shared" ref="K3166:S3166" si="529">(1-B$2464)*K$3011</f>
        <v>0.89851090616610396</v>
      </c>
      <c r="L3166" s="273">
        <f t="shared" si="529"/>
        <v>1.6423614031347329</v>
      </c>
      <c r="M3166" s="273">
        <f t="shared" si="529"/>
        <v>0.23262283615681592</v>
      </c>
      <c r="N3166" s="273">
        <f t="shared" si="529"/>
        <v>0.33538094155570269</v>
      </c>
      <c r="O3166" s="273">
        <f t="shared" si="529"/>
        <v>0</v>
      </c>
      <c r="P3166" s="273">
        <f t="shared" si="529"/>
        <v>0</v>
      </c>
      <c r="Q3166" s="273">
        <f t="shared" si="529"/>
        <v>0</v>
      </c>
      <c r="R3166" s="273">
        <f t="shared" si="529"/>
        <v>0</v>
      </c>
      <c r="S3166" s="273">
        <f t="shared" si="529"/>
        <v>0</v>
      </c>
      <c r="T3166" s="265"/>
    </row>
    <row r="3167" spans="1:20">
      <c r="A3167" s="285" t="s">
        <v>93</v>
      </c>
      <c r="B3167" s="273">
        <f t="shared" ref="B3167:J3167" si="530">(1-B$2465)*B$3012</f>
        <v>0</v>
      </c>
      <c r="C3167" s="273">
        <f t="shared" si="530"/>
        <v>0.17664994723892818</v>
      </c>
      <c r="D3167" s="273">
        <f t="shared" si="530"/>
        <v>2.5020565909085898E-2</v>
      </c>
      <c r="E3167" s="273">
        <f t="shared" si="530"/>
        <v>6.3184485263484275E-2</v>
      </c>
      <c r="F3167" s="273">
        <f t="shared" si="530"/>
        <v>1.2065632098145868E-2</v>
      </c>
      <c r="G3167" s="273">
        <f t="shared" si="530"/>
        <v>0</v>
      </c>
      <c r="H3167" s="273">
        <f t="shared" si="530"/>
        <v>4.2970630410967763E-2</v>
      </c>
      <c r="I3167" s="273">
        <f t="shared" si="530"/>
        <v>4.8188489486033726E-3</v>
      </c>
      <c r="J3167" s="273">
        <f t="shared" si="530"/>
        <v>1.0349615152362093E-2</v>
      </c>
      <c r="K3167" s="273">
        <f t="shared" ref="K3167:S3167" si="531">(1-B$2465)*K$3012</f>
        <v>5.3724649560882437E-2</v>
      </c>
      <c r="L3167" s="273">
        <f t="shared" si="531"/>
        <v>0.11633488307809373</v>
      </c>
      <c r="M3167" s="273">
        <f t="shared" si="531"/>
        <v>1.6477585502158606E-2</v>
      </c>
      <c r="N3167" s="273">
        <f t="shared" si="531"/>
        <v>4.161087971079306E-2</v>
      </c>
      <c r="O3167" s="273">
        <f t="shared" si="531"/>
        <v>4.1820856544716907E-2</v>
      </c>
      <c r="P3167" s="273">
        <f t="shared" si="531"/>
        <v>0</v>
      </c>
      <c r="Q3167" s="273">
        <f t="shared" si="531"/>
        <v>0.14894110440590089</v>
      </c>
      <c r="R3167" s="273">
        <f t="shared" si="531"/>
        <v>6.347018357707486E-2</v>
      </c>
      <c r="S3167" s="273">
        <f t="shared" si="531"/>
        <v>0.13631719538809817</v>
      </c>
      <c r="T3167" s="265"/>
    </row>
    <row r="3168" spans="1:20">
      <c r="A3168" s="285" t="s">
        <v>94</v>
      </c>
      <c r="B3168" s="273">
        <f t="shared" ref="B3168:J3168" si="532">(1-B$2466)*B$3013</f>
        <v>0</v>
      </c>
      <c r="C3168" s="273">
        <f t="shared" si="532"/>
        <v>0.29490153994501445</v>
      </c>
      <c r="D3168" s="273">
        <f t="shared" si="532"/>
        <v>4.1769632724006529E-2</v>
      </c>
      <c r="E3168" s="273">
        <f t="shared" si="532"/>
        <v>8.0598951324264714E-2</v>
      </c>
      <c r="F3168" s="273">
        <f t="shared" si="532"/>
        <v>1.5391077257646997E-2</v>
      </c>
      <c r="G3168" s="273">
        <f t="shared" si="532"/>
        <v>0</v>
      </c>
      <c r="H3168" s="273">
        <f t="shared" si="532"/>
        <v>5.4813895126690666E-2</v>
      </c>
      <c r="I3168" s="273">
        <f t="shared" si="532"/>
        <v>6.1469864038273501E-3</v>
      </c>
      <c r="J3168" s="273">
        <f t="shared" si="532"/>
        <v>1.3202103719157605E-2</v>
      </c>
      <c r="K3168" s="273">
        <f t="shared" ref="K3168:S3168" si="533">(1-B$2466)*K$3013</f>
        <v>9.5272409013318765E-2</v>
      </c>
      <c r="L3168" s="273">
        <f t="shared" si="533"/>
        <v>0.19421084866020713</v>
      </c>
      <c r="M3168" s="273">
        <f t="shared" si="533"/>
        <v>2.750787880275905E-2</v>
      </c>
      <c r="N3168" s="273">
        <f t="shared" si="533"/>
        <v>5.3079379445515169E-2</v>
      </c>
      <c r="O3168" s="273">
        <f t="shared" si="533"/>
        <v>5.3347228626308169E-2</v>
      </c>
      <c r="P3168" s="273">
        <f t="shared" si="533"/>
        <v>0</v>
      </c>
      <c r="Q3168" s="273">
        <f t="shared" si="533"/>
        <v>0.18999121024937898</v>
      </c>
      <c r="R3168" s="273">
        <f t="shared" si="533"/>
        <v>8.0963391809527607E-2</v>
      </c>
      <c r="S3168" s="273">
        <f t="shared" si="533"/>
        <v>0.1738879876907892</v>
      </c>
      <c r="T3168" s="265"/>
    </row>
    <row r="3169" spans="1:20">
      <c r="A3169" s="285" t="s">
        <v>95</v>
      </c>
      <c r="B3169" s="273">
        <f t="shared" ref="B3169:J3169" si="534">(1-B$2467)*B$3014</f>
        <v>0</v>
      </c>
      <c r="C3169" s="273">
        <f t="shared" si="534"/>
        <v>0.51430257872314444</v>
      </c>
      <c r="D3169" s="273">
        <f t="shared" si="534"/>
        <v>7.2845431143834127E-2</v>
      </c>
      <c r="E3169" s="273">
        <f t="shared" si="534"/>
        <v>0.13619001678822223</v>
      </c>
      <c r="F3169" s="273">
        <f t="shared" si="534"/>
        <v>2.6006679189592943E-2</v>
      </c>
      <c r="G3169" s="273">
        <f t="shared" si="534"/>
        <v>0</v>
      </c>
      <c r="H3169" s="273">
        <f t="shared" si="534"/>
        <v>9.262037749720009E-2</v>
      </c>
      <c r="I3169" s="273">
        <f t="shared" si="534"/>
        <v>1.0386713074791455E-2</v>
      </c>
      <c r="J3169" s="273">
        <f t="shared" si="534"/>
        <v>2.2307917133043764E-2</v>
      </c>
      <c r="K3169" s="273">
        <f t="shared" ref="K3169:S3169" si="535">(1-B$2467)*K$3014</f>
        <v>0.17167154183732136</v>
      </c>
      <c r="L3169" s="273">
        <f t="shared" si="535"/>
        <v>0.33869996169086958</v>
      </c>
      <c r="M3169" s="273">
        <f t="shared" si="535"/>
        <v>4.797320829894796E-2</v>
      </c>
      <c r="N3169" s="273">
        <f t="shared" si="535"/>
        <v>8.9689523982886335E-2</v>
      </c>
      <c r="O3169" s="273">
        <f t="shared" si="535"/>
        <v>9.0142115286241525E-2</v>
      </c>
      <c r="P3169" s="273">
        <f t="shared" si="535"/>
        <v>0</v>
      </c>
      <c r="Q3169" s="273">
        <f t="shared" si="535"/>
        <v>0.32103278874408653</v>
      </c>
      <c r="R3169" s="273">
        <f t="shared" si="535"/>
        <v>0.1368058207781101</v>
      </c>
      <c r="S3169" s="273">
        <f t="shared" si="535"/>
        <v>0.29382278024440295</v>
      </c>
      <c r="T3169" s="265"/>
    </row>
    <row r="3170" spans="1:20">
      <c r="A3170" s="285" t="s">
        <v>96</v>
      </c>
      <c r="B3170" s="273">
        <f t="shared" ref="B3170:J3170" si="536">(1-B$2468)*B$3015</f>
        <v>0</v>
      </c>
      <c r="C3170" s="273">
        <f t="shared" si="536"/>
        <v>6.2906964833405271E-2</v>
      </c>
      <c r="D3170" s="273">
        <f t="shared" si="536"/>
        <v>8.9100952723517781E-3</v>
      </c>
      <c r="E3170" s="273">
        <f t="shared" si="536"/>
        <v>4.610169120855033E-2</v>
      </c>
      <c r="F3170" s="273">
        <f t="shared" si="536"/>
        <v>8.8035226195972687E-3</v>
      </c>
      <c r="G3170" s="273">
        <f t="shared" si="536"/>
        <v>0</v>
      </c>
      <c r="H3170" s="273">
        <f t="shared" si="536"/>
        <v>3.1352929852671484E-2</v>
      </c>
      <c r="I3170" s="273">
        <f t="shared" si="536"/>
        <v>3.5160069007881853E-3</v>
      </c>
      <c r="J3170" s="273">
        <f t="shared" si="536"/>
        <v>7.551454441574402E-3</v>
      </c>
      <c r="K3170" s="273">
        <f t="shared" ref="K3170:S3170" si="537">(1-B$2468)*K$3015</f>
        <v>1.3770806195681728E-2</v>
      </c>
      <c r="L3170" s="273">
        <f t="shared" si="537"/>
        <v>4.1428115394756458E-2</v>
      </c>
      <c r="M3170" s="273">
        <f t="shared" si="537"/>
        <v>5.8678471628509782E-3</v>
      </c>
      <c r="N3170" s="273">
        <f t="shared" si="537"/>
        <v>3.0360806443916071E-2</v>
      </c>
      <c r="O3170" s="273">
        <f t="shared" si="537"/>
        <v>3.0514013154679619E-2</v>
      </c>
      <c r="P3170" s="273">
        <f t="shared" si="537"/>
        <v>0</v>
      </c>
      <c r="Q3170" s="273">
        <f t="shared" si="537"/>
        <v>0.10867282965031233</v>
      </c>
      <c r="R3170" s="273">
        <f t="shared" si="537"/>
        <v>4.6310147056169107E-2</v>
      </c>
      <c r="S3170" s="273">
        <f t="shared" si="537"/>
        <v>9.9461967949743657E-2</v>
      </c>
      <c r="T3170" s="265"/>
    </row>
    <row r="3171" spans="1:20">
      <c r="A3171" s="285" t="s">
        <v>97</v>
      </c>
      <c r="B3171" s="273">
        <f t="shared" ref="B3171:J3171" si="538">(1-B$2469)*B$3016</f>
        <v>0</v>
      </c>
      <c r="C3171" s="273">
        <f t="shared" si="538"/>
        <v>8.2107530642108042</v>
      </c>
      <c r="D3171" s="273">
        <f t="shared" si="538"/>
        <v>1.1629648998901219</v>
      </c>
      <c r="E3171" s="273">
        <f t="shared" si="538"/>
        <v>1.9506767155298081</v>
      </c>
      <c r="F3171" s="273">
        <f t="shared" si="538"/>
        <v>0.37249884198398731</v>
      </c>
      <c r="G3171" s="273">
        <f t="shared" si="538"/>
        <v>0</v>
      </c>
      <c r="H3171" s="273">
        <f t="shared" si="538"/>
        <v>1.3266201005637432</v>
      </c>
      <c r="I3171" s="273">
        <f t="shared" si="538"/>
        <v>0.14877095857467362</v>
      </c>
      <c r="J3171" s="273">
        <f t="shared" si="538"/>
        <v>0.31952073690588007</v>
      </c>
      <c r="K3171" s="273">
        <f t="shared" ref="K3171:S3171" si="539">(1-B$2469)*K$3016</f>
        <v>2.8557100747402528</v>
      </c>
      <c r="L3171" s="273">
        <f t="shared" si="539"/>
        <v>5.407287195031599</v>
      </c>
      <c r="M3171" s="273">
        <f t="shared" si="539"/>
        <v>0.76588409884806263</v>
      </c>
      <c r="N3171" s="273">
        <f t="shared" si="539"/>
        <v>1.2846409023682479</v>
      </c>
      <c r="O3171" s="273">
        <f t="shared" si="539"/>
        <v>1.2911234576827035</v>
      </c>
      <c r="P3171" s="273">
        <f t="shared" si="539"/>
        <v>0</v>
      </c>
      <c r="Q3171" s="273">
        <f t="shared" si="539"/>
        <v>4.5982165263881978</v>
      </c>
      <c r="R3171" s="273">
        <f t="shared" si="539"/>
        <v>1.9594969986367015</v>
      </c>
      <c r="S3171" s="273">
        <f t="shared" si="539"/>
        <v>4.2084821592044559</v>
      </c>
      <c r="T3171" s="265"/>
    </row>
    <row r="3173" spans="1:20" ht="21" customHeight="1">
      <c r="A3173" s="1" t="s">
        <v>1145</v>
      </c>
    </row>
    <row r="3174" spans="1:20">
      <c r="A3174" s="264" t="s">
        <v>217</v>
      </c>
    </row>
    <row r="3175" spans="1:20">
      <c r="A3175" s="269" t="s">
        <v>671</v>
      </c>
    </row>
    <row r="3176" spans="1:20">
      <c r="A3176" s="269" t="s">
        <v>1144</v>
      </c>
    </row>
    <row r="3177" spans="1:20">
      <c r="A3177" s="264" t="s">
        <v>1141</v>
      </c>
    </row>
    <row r="3179" spans="1:20" ht="30">
      <c r="B3179" s="284" t="s">
        <v>22</v>
      </c>
      <c r="C3179" s="284" t="s">
        <v>182</v>
      </c>
      <c r="D3179" s="284" t="s">
        <v>183</v>
      </c>
      <c r="E3179" s="284" t="s">
        <v>184</v>
      </c>
      <c r="F3179" s="284" t="s">
        <v>185</v>
      </c>
      <c r="G3179" s="284" t="s">
        <v>186</v>
      </c>
      <c r="H3179" s="284" t="s">
        <v>187</v>
      </c>
      <c r="I3179" s="284" t="s">
        <v>188</v>
      </c>
      <c r="J3179" s="284" t="s">
        <v>189</v>
      </c>
      <c r="K3179" s="284" t="s">
        <v>170</v>
      </c>
      <c r="L3179" s="284" t="s">
        <v>567</v>
      </c>
      <c r="M3179" s="284" t="s">
        <v>568</v>
      </c>
      <c r="N3179" s="284" t="s">
        <v>569</v>
      </c>
      <c r="O3179" s="284" t="s">
        <v>570</v>
      </c>
      <c r="P3179" s="284" t="s">
        <v>571</v>
      </c>
      <c r="Q3179" s="284" t="s">
        <v>572</v>
      </c>
      <c r="R3179" s="284" t="s">
        <v>573</v>
      </c>
      <c r="S3179" s="284" t="s">
        <v>574</v>
      </c>
    </row>
    <row r="3180" spans="1:20">
      <c r="A3180" s="285" t="s">
        <v>55</v>
      </c>
      <c r="B3180" s="273">
        <f t="shared" ref="B3180:J3180" si="540">(1-B$2452)*B$3034</f>
        <v>0</v>
      </c>
      <c r="C3180" s="273">
        <f t="shared" si="540"/>
        <v>3.2431504585552801E-2</v>
      </c>
      <c r="D3180" s="273">
        <f t="shared" si="540"/>
        <v>4.5935739619333759E-3</v>
      </c>
      <c r="E3180" s="273">
        <f t="shared" si="540"/>
        <v>1.6368138725240927E-2</v>
      </c>
      <c r="F3180" s="273">
        <f t="shared" si="540"/>
        <v>3.1256397700577024E-3</v>
      </c>
      <c r="G3180" s="273">
        <f t="shared" si="540"/>
        <v>0</v>
      </c>
      <c r="H3180" s="273">
        <f t="shared" si="540"/>
        <v>1.1131676340240093E-2</v>
      </c>
      <c r="I3180" s="273">
        <f t="shared" si="540"/>
        <v>1.2483379069688385E-3</v>
      </c>
      <c r="J3180" s="273">
        <f t="shared" si="540"/>
        <v>0</v>
      </c>
      <c r="K3180" s="273">
        <f t="shared" ref="K3180:S3180" si="541">(1-B$2452)*K$3034</f>
        <v>0</v>
      </c>
      <c r="L3180" s="273">
        <f t="shared" si="541"/>
        <v>2.1358145603654684E-2</v>
      </c>
      <c r="M3180" s="273">
        <f t="shared" si="541"/>
        <v>3.0251517089291921E-3</v>
      </c>
      <c r="N3180" s="273">
        <f t="shared" si="541"/>
        <v>1.0779428664257748E-2</v>
      </c>
      <c r="O3180" s="273">
        <f t="shared" si="541"/>
        <v>1.083382382048036E-2</v>
      </c>
      <c r="P3180" s="273">
        <f t="shared" si="541"/>
        <v>0</v>
      </c>
      <c r="Q3180" s="273">
        <f t="shared" si="541"/>
        <v>3.8583659400566295E-2</v>
      </c>
      <c r="R3180" s="273">
        <f t="shared" si="541"/>
        <v>1.6442149767839705E-2</v>
      </c>
      <c r="S3180" s="273">
        <f t="shared" si="541"/>
        <v>0</v>
      </c>
      <c r="T3180" s="265"/>
    </row>
    <row r="3181" spans="1:20">
      <c r="A3181" s="285" t="s">
        <v>57</v>
      </c>
      <c r="B3181" s="273">
        <f t="shared" ref="B3181:J3181" si="542">(1-B$2455)*B$3035</f>
        <v>0</v>
      </c>
      <c r="C3181" s="273">
        <f t="shared" si="542"/>
        <v>3.0990227752351746E-2</v>
      </c>
      <c r="D3181" s="273">
        <f t="shared" si="542"/>
        <v>4.3894325933001299E-3</v>
      </c>
      <c r="E3181" s="273">
        <f t="shared" si="542"/>
        <v>1.5879112402178455E-2</v>
      </c>
      <c r="F3181" s="273">
        <f t="shared" si="542"/>
        <v>3.032255900967441E-3</v>
      </c>
      <c r="G3181" s="273">
        <f t="shared" si="542"/>
        <v>0</v>
      </c>
      <c r="H3181" s="273">
        <f t="shared" si="542"/>
        <v>1.0799098345785872E-2</v>
      </c>
      <c r="I3181" s="273">
        <f t="shared" si="542"/>
        <v>1.2110416629161731E-3</v>
      </c>
      <c r="J3181" s="273">
        <f t="shared" si="542"/>
        <v>0</v>
      </c>
      <c r="K3181" s="273">
        <f t="shared" ref="K3181:S3181" si="543">(1-B$2455)*K$3035</f>
        <v>0</v>
      </c>
      <c r="L3181" s="273">
        <f t="shared" si="543"/>
        <v>2.0408975935085089E-2</v>
      </c>
      <c r="M3181" s="273">
        <f t="shared" si="543"/>
        <v>2.8907120296507746E-3</v>
      </c>
      <c r="N3181" s="273">
        <f t="shared" si="543"/>
        <v>1.0457374675537137E-2</v>
      </c>
      <c r="O3181" s="273">
        <f t="shared" si="543"/>
        <v>1.0510144682823361E-2</v>
      </c>
      <c r="P3181" s="273">
        <f t="shared" si="543"/>
        <v>0</v>
      </c>
      <c r="Q3181" s="273">
        <f t="shared" si="543"/>
        <v>3.7430906152094795E-2</v>
      </c>
      <c r="R3181" s="273">
        <f t="shared" si="543"/>
        <v>1.5950912237465541E-2</v>
      </c>
      <c r="S3181" s="273">
        <f t="shared" si="543"/>
        <v>0</v>
      </c>
      <c r="T3181" s="265"/>
    </row>
    <row r="3182" spans="1:20">
      <c r="A3182" s="285" t="s">
        <v>58</v>
      </c>
      <c r="B3182" s="273">
        <f t="shared" ref="B3182:J3182" si="544">(1-B$2457)*B$3036</f>
        <v>0</v>
      </c>
      <c r="C3182" s="273">
        <f t="shared" si="544"/>
        <v>2.6790330495659598E-2</v>
      </c>
      <c r="D3182" s="273">
        <f t="shared" si="544"/>
        <v>3.7945622988849082E-3</v>
      </c>
      <c r="E3182" s="273">
        <f t="shared" si="544"/>
        <v>1.2724665294283637E-2</v>
      </c>
      <c r="F3182" s="273">
        <f t="shared" si="544"/>
        <v>2.4298865357948942E-3</v>
      </c>
      <c r="G3182" s="273">
        <f t="shared" si="544"/>
        <v>0</v>
      </c>
      <c r="H3182" s="273">
        <f t="shared" si="544"/>
        <v>8.6538156825015835E-3</v>
      </c>
      <c r="I3182" s="273">
        <f t="shared" si="544"/>
        <v>9.7046355159793797E-4</v>
      </c>
      <c r="J3182" s="273">
        <f t="shared" si="544"/>
        <v>0</v>
      </c>
      <c r="K3182" s="273">
        <f t="shared" ref="K3182:S3182" si="545">(1-B$2457)*K$3036</f>
        <v>0</v>
      </c>
      <c r="L3182" s="273">
        <f t="shared" si="545"/>
        <v>1.7643084611967754E-2</v>
      </c>
      <c r="M3182" s="273">
        <f t="shared" si="545"/>
        <v>2.4989532591042775E-3</v>
      </c>
      <c r="N3182" s="273">
        <f t="shared" si="545"/>
        <v>8.3799767413241938E-3</v>
      </c>
      <c r="O3182" s="273">
        <f t="shared" si="545"/>
        <v>8.4222637825193923E-3</v>
      </c>
      <c r="P3182" s="273">
        <f t="shared" si="545"/>
        <v>0</v>
      </c>
      <c r="Q3182" s="273">
        <f t="shared" si="545"/>
        <v>2.9995111841503524E-2</v>
      </c>
      <c r="R3182" s="273">
        <f t="shared" si="545"/>
        <v>1.2782201814529411E-2</v>
      </c>
      <c r="S3182" s="273">
        <f t="shared" si="545"/>
        <v>0</v>
      </c>
      <c r="T3182" s="265"/>
    </row>
    <row r="3183" spans="1:20">
      <c r="A3183" s="285" t="s">
        <v>59</v>
      </c>
      <c r="B3183" s="273">
        <f t="shared" ref="B3183:J3183" si="546">(1-B$2458)*B$3037</f>
        <v>0</v>
      </c>
      <c r="C3183" s="273">
        <f t="shared" si="546"/>
        <v>2.6538639214304698E-2</v>
      </c>
      <c r="D3183" s="273">
        <f t="shared" si="546"/>
        <v>3.7589129347480187E-3</v>
      </c>
      <c r="E3183" s="273">
        <f t="shared" si="546"/>
        <v>1.2605118903721214E-2</v>
      </c>
      <c r="F3183" s="273">
        <f t="shared" si="546"/>
        <v>2.4070581031318365E-3</v>
      </c>
      <c r="G3183" s="273">
        <f t="shared" si="546"/>
        <v>0</v>
      </c>
      <c r="H3183" s="273">
        <f t="shared" si="546"/>
        <v>8.5725143354319442E-3</v>
      </c>
      <c r="I3183" s="273">
        <f t="shared" si="546"/>
        <v>0</v>
      </c>
      <c r="J3183" s="273">
        <f t="shared" si="546"/>
        <v>0</v>
      </c>
      <c r="K3183" s="273">
        <f t="shared" ref="K3183:S3183" si="547">(1-B$2458)*K$3037</f>
        <v>0</v>
      </c>
      <c r="L3183" s="273">
        <f t="shared" si="547"/>
        <v>1.7477330383076903E-2</v>
      </c>
      <c r="M3183" s="273">
        <f t="shared" si="547"/>
        <v>2.4754759545621823E-3</v>
      </c>
      <c r="N3183" s="273">
        <f t="shared" si="547"/>
        <v>8.3012480715121562E-3</v>
      </c>
      <c r="O3183" s="273">
        <f t="shared" si="547"/>
        <v>8.3431378320696671E-3</v>
      </c>
      <c r="P3183" s="273">
        <f t="shared" si="547"/>
        <v>0</v>
      </c>
      <c r="Q3183" s="273">
        <f t="shared" si="547"/>
        <v>2.9713312102788297E-2</v>
      </c>
      <c r="R3183" s="273">
        <f t="shared" si="547"/>
        <v>0</v>
      </c>
      <c r="S3183" s="273">
        <f t="shared" si="547"/>
        <v>0</v>
      </c>
      <c r="T3183" s="265"/>
    </row>
    <row r="3184" spans="1:20">
      <c r="A3184" s="285" t="s">
        <v>72</v>
      </c>
      <c r="B3184" s="273">
        <f t="shared" ref="B3184:J3184" si="548">(1-B$2459)*B$3038</f>
        <v>0</v>
      </c>
      <c r="C3184" s="273">
        <f t="shared" si="548"/>
        <v>2.7421172282789254E-2</v>
      </c>
      <c r="D3184" s="273">
        <f t="shared" si="548"/>
        <v>1.2816917044856169E-3</v>
      </c>
      <c r="E3184" s="273">
        <f t="shared" si="548"/>
        <v>3.4384145870699359E-3</v>
      </c>
      <c r="F3184" s="273">
        <f t="shared" si="548"/>
        <v>0</v>
      </c>
      <c r="G3184" s="273">
        <f t="shared" si="548"/>
        <v>0</v>
      </c>
      <c r="H3184" s="273">
        <f t="shared" si="548"/>
        <v>0</v>
      </c>
      <c r="I3184" s="273">
        <f t="shared" si="548"/>
        <v>0</v>
      </c>
      <c r="J3184" s="273">
        <f t="shared" si="548"/>
        <v>0</v>
      </c>
      <c r="K3184" s="273">
        <f t="shared" ref="K3184:S3184" si="549">(1-B$2459)*K$3038</f>
        <v>0</v>
      </c>
      <c r="L3184" s="273">
        <f t="shared" si="549"/>
        <v>1.8058532828588169E-2</v>
      </c>
      <c r="M3184" s="273">
        <f t="shared" si="549"/>
        <v>2.5577970326136111E-3</v>
      </c>
      <c r="N3184" s="273">
        <f t="shared" si="549"/>
        <v>6.8618425140174067E-3</v>
      </c>
      <c r="O3184" s="273">
        <f t="shared" si="549"/>
        <v>0</v>
      </c>
      <c r="P3184" s="273">
        <f t="shared" si="549"/>
        <v>0</v>
      </c>
      <c r="Q3184" s="273">
        <f t="shared" si="549"/>
        <v>0</v>
      </c>
      <c r="R3184" s="273">
        <f t="shared" si="549"/>
        <v>0</v>
      </c>
      <c r="S3184" s="273">
        <f t="shared" si="549"/>
        <v>0</v>
      </c>
      <c r="T3184" s="265"/>
    </row>
    <row r="3185" spans="1:20">
      <c r="A3185" s="285" t="s">
        <v>1178</v>
      </c>
      <c r="B3185" s="273">
        <f t="shared" ref="B3185:J3185" si="550">(1-B$2460)*B$3039</f>
        <v>0</v>
      </c>
      <c r="C3185" s="273">
        <f t="shared" si="550"/>
        <v>5.8551910565526E-2</v>
      </c>
      <c r="D3185" s="273">
        <f t="shared" si="550"/>
        <v>8.2932486553542826E-3</v>
      </c>
      <c r="E3185" s="273">
        <f t="shared" si="550"/>
        <v>7.2025735664782778E-2</v>
      </c>
      <c r="F3185" s="273">
        <f t="shared" si="550"/>
        <v>1.3753946471283642E-2</v>
      </c>
      <c r="G3185" s="273">
        <f t="shared" si="550"/>
        <v>0</v>
      </c>
      <c r="H3185" s="273">
        <f t="shared" si="550"/>
        <v>4.8983405568995025E-2</v>
      </c>
      <c r="I3185" s="273">
        <f t="shared" si="550"/>
        <v>5.4931386895575281E-3</v>
      </c>
      <c r="J3185" s="273">
        <f t="shared" si="550"/>
        <v>0</v>
      </c>
      <c r="K3185" s="273">
        <f t="shared" ref="K3185:S3185" si="551">(1-B$2460)*K$3039</f>
        <v>0</v>
      </c>
      <c r="L3185" s="273">
        <f t="shared" si="551"/>
        <v>3.8560043612276822E-2</v>
      </c>
      <c r="M3185" s="273">
        <f t="shared" si="551"/>
        <v>5.4616156287511626E-3</v>
      </c>
      <c r="N3185" s="273">
        <f t="shared" si="551"/>
        <v>4.7433388280852515E-2</v>
      </c>
      <c r="O3185" s="273">
        <f t="shared" si="551"/>
        <v>4.7672746659303489E-2</v>
      </c>
      <c r="P3185" s="273">
        <f t="shared" si="551"/>
        <v>0</v>
      </c>
      <c r="Q3185" s="273">
        <f t="shared" si="551"/>
        <v>0.16978206866488385</v>
      </c>
      <c r="R3185" s="273">
        <f t="shared" si="551"/>
        <v>7.2351411044248762E-2</v>
      </c>
      <c r="S3185" s="273">
        <f t="shared" si="551"/>
        <v>0</v>
      </c>
      <c r="T3185" s="265"/>
    </row>
    <row r="3186" spans="1:20">
      <c r="A3186" s="285" t="s">
        <v>1177</v>
      </c>
      <c r="B3186" s="273">
        <f t="shared" ref="B3186:J3186" si="552">(1-B$2461)*B$3040</f>
        <v>0</v>
      </c>
      <c r="C3186" s="273">
        <f t="shared" si="552"/>
        <v>5.9699522497980453E-2</v>
      </c>
      <c r="D3186" s="273">
        <f t="shared" si="552"/>
        <v>8.4557955479111924E-3</v>
      </c>
      <c r="E3186" s="273">
        <f t="shared" si="552"/>
        <v>7.3462732618221893E-2</v>
      </c>
      <c r="F3186" s="273">
        <f t="shared" si="552"/>
        <v>1.4028353653585608E-2</v>
      </c>
      <c r="G3186" s="273">
        <f t="shared" si="552"/>
        <v>0</v>
      </c>
      <c r="H3186" s="273">
        <f t="shared" si="552"/>
        <v>4.9960681315254926E-2</v>
      </c>
      <c r="I3186" s="273">
        <f t="shared" si="552"/>
        <v>5.6027331767065482E-3</v>
      </c>
      <c r="J3186" s="273">
        <f t="shared" si="552"/>
        <v>0</v>
      </c>
      <c r="K3186" s="273">
        <f t="shared" ref="K3186:S3186" si="553">(1-B$2461)*K$3040</f>
        <v>0</v>
      </c>
      <c r="L3186" s="273">
        <f t="shared" si="553"/>
        <v>3.9315816835353637E-2</v>
      </c>
      <c r="M3186" s="273">
        <f t="shared" si="553"/>
        <v>5.5686627806800513E-3</v>
      </c>
      <c r="N3186" s="273">
        <f t="shared" si="553"/>
        <v>4.8379739384687301E-2</v>
      </c>
      <c r="O3186" s="273">
        <f t="shared" si="553"/>
        <v>4.8623873240367897E-2</v>
      </c>
      <c r="P3186" s="273">
        <f t="shared" si="553"/>
        <v>0</v>
      </c>
      <c r="Q3186" s="273">
        <f t="shared" si="553"/>
        <v>0.17316941782790424</v>
      </c>
      <c r="R3186" s="273">
        <f t="shared" si="553"/>
        <v>7.3794905599188013E-2</v>
      </c>
      <c r="S3186" s="273">
        <f t="shared" si="553"/>
        <v>0</v>
      </c>
      <c r="T3186" s="265"/>
    </row>
    <row r="3187" spans="1:20">
      <c r="A3187" s="285" t="s">
        <v>60</v>
      </c>
      <c r="B3187" s="273">
        <f t="shared" ref="B3187:J3187" si="554">(1-B$2462)*B$3041</f>
        <v>0</v>
      </c>
      <c r="C3187" s="273">
        <f t="shared" si="554"/>
        <v>4.7124447871486785E-2</v>
      </c>
      <c r="D3187" s="273">
        <f t="shared" si="554"/>
        <v>6.6746714184015626E-3</v>
      </c>
      <c r="E3187" s="273">
        <f t="shared" si="554"/>
        <v>5.797271883124553E-2</v>
      </c>
      <c r="F3187" s="273">
        <f t="shared" si="554"/>
        <v>1.1070399548721263E-2</v>
      </c>
      <c r="G3187" s="273">
        <f t="shared" si="554"/>
        <v>0</v>
      </c>
      <c r="H3187" s="273">
        <f t="shared" si="554"/>
        <v>3.1540961543685526E-2</v>
      </c>
      <c r="I3187" s="273">
        <f t="shared" si="554"/>
        <v>0</v>
      </c>
      <c r="J3187" s="273">
        <f t="shared" si="554"/>
        <v>0</v>
      </c>
      <c r="K3187" s="273">
        <f t="shared" ref="K3187:S3187" si="555">(1-B$2462)*K$3041</f>
        <v>0</v>
      </c>
      <c r="L3187" s="273">
        <f t="shared" si="555"/>
        <v>3.103435477302554E-2</v>
      </c>
      <c r="M3187" s="273">
        <f t="shared" si="555"/>
        <v>4.3956827113805323E-3</v>
      </c>
      <c r="N3187" s="273">
        <f t="shared" si="555"/>
        <v>3.8178610140371043E-2</v>
      </c>
      <c r="O3187" s="273">
        <f t="shared" si="555"/>
        <v>3.8371267054538825E-2</v>
      </c>
      <c r="P3187" s="273">
        <f t="shared" si="555"/>
        <v>0</v>
      </c>
      <c r="Q3187" s="273">
        <f t="shared" si="555"/>
        <v>0.10932456893025995</v>
      </c>
      <c r="R3187" s="273">
        <f t="shared" si="555"/>
        <v>0</v>
      </c>
      <c r="S3187" s="273">
        <f t="shared" si="555"/>
        <v>0</v>
      </c>
      <c r="T3187" s="265"/>
    </row>
    <row r="3188" spans="1:20">
      <c r="A3188" s="285" t="s">
        <v>61</v>
      </c>
      <c r="B3188" s="273">
        <f t="shared" ref="B3188:J3188" si="556">(1-B$2463)*B$3042</f>
        <v>0</v>
      </c>
      <c r="C3188" s="273">
        <f t="shared" si="556"/>
        <v>4.4395192110966646E-2</v>
      </c>
      <c r="D3188" s="273">
        <f t="shared" si="556"/>
        <v>6.2881016814376189E-3</v>
      </c>
      <c r="E3188" s="273">
        <f t="shared" si="556"/>
        <v>5.4615175475943419E-2</v>
      </c>
      <c r="F3188" s="273">
        <f t="shared" si="556"/>
        <v>1.0429247172315631E-2</v>
      </c>
      <c r="G3188" s="273">
        <f t="shared" si="556"/>
        <v>0</v>
      </c>
      <c r="H3188" s="273">
        <f t="shared" si="556"/>
        <v>0</v>
      </c>
      <c r="I3188" s="273">
        <f t="shared" si="556"/>
        <v>0</v>
      </c>
      <c r="J3188" s="273">
        <f t="shared" si="556"/>
        <v>0</v>
      </c>
      <c r="K3188" s="273">
        <f t="shared" ref="K3188:S3188" si="557">(1-B$2463)*K$3042</f>
        <v>0</v>
      </c>
      <c r="L3188" s="273">
        <f t="shared" si="557"/>
        <v>2.9236971559766605E-2</v>
      </c>
      <c r="M3188" s="273">
        <f t="shared" si="557"/>
        <v>4.1411027024184956E-3</v>
      </c>
      <c r="N3188" s="273">
        <f t="shared" si="557"/>
        <v>3.5967460803652616E-2</v>
      </c>
      <c r="O3188" s="273">
        <f t="shared" si="557"/>
        <v>3.6148959815361134E-2</v>
      </c>
      <c r="P3188" s="273">
        <f t="shared" si="557"/>
        <v>0</v>
      </c>
      <c r="Q3188" s="273">
        <f t="shared" si="557"/>
        <v>0</v>
      </c>
      <c r="R3188" s="273">
        <f t="shared" si="557"/>
        <v>0</v>
      </c>
      <c r="S3188" s="273">
        <f t="shared" si="557"/>
        <v>0</v>
      </c>
      <c r="T3188" s="265"/>
    </row>
    <row r="3189" spans="1:20">
      <c r="A3189" s="285" t="s">
        <v>73</v>
      </c>
      <c r="B3189" s="273">
        <f t="shared" ref="B3189:J3189" si="558">(1-B$2464)*B$3043</f>
        <v>0</v>
      </c>
      <c r="C3189" s="273">
        <f t="shared" si="558"/>
        <v>4.0362589131470582E-2</v>
      </c>
      <c r="D3189" s="273">
        <f t="shared" si="558"/>
        <v>1.8865858515405894E-3</v>
      </c>
      <c r="E3189" s="273">
        <f t="shared" si="558"/>
        <v>1.3108721525478227E-2</v>
      </c>
      <c r="F3189" s="273">
        <f t="shared" si="558"/>
        <v>0</v>
      </c>
      <c r="G3189" s="273">
        <f t="shared" si="558"/>
        <v>0</v>
      </c>
      <c r="H3189" s="273">
        <f t="shared" si="558"/>
        <v>0</v>
      </c>
      <c r="I3189" s="273">
        <f t="shared" si="558"/>
        <v>0</v>
      </c>
      <c r="J3189" s="273">
        <f t="shared" si="558"/>
        <v>0</v>
      </c>
      <c r="K3189" s="273">
        <f t="shared" ref="K3189:S3189" si="559">(1-B$2464)*K$3043</f>
        <v>0</v>
      </c>
      <c r="L3189" s="273">
        <f t="shared" si="559"/>
        <v>2.6581253834102522E-2</v>
      </c>
      <c r="M3189" s="273">
        <f t="shared" si="559"/>
        <v>3.7649488375037657E-3</v>
      </c>
      <c r="N3189" s="273">
        <f t="shared" si="559"/>
        <v>2.6160307429533375E-2</v>
      </c>
      <c r="O3189" s="273">
        <f t="shared" si="559"/>
        <v>0</v>
      </c>
      <c r="P3189" s="273">
        <f t="shared" si="559"/>
        <v>0</v>
      </c>
      <c r="Q3189" s="273">
        <f t="shared" si="559"/>
        <v>0</v>
      </c>
      <c r="R3189" s="273">
        <f t="shared" si="559"/>
        <v>0</v>
      </c>
      <c r="S3189" s="273">
        <f t="shared" si="559"/>
        <v>0</v>
      </c>
      <c r="T3189" s="265"/>
    </row>
    <row r="3190" spans="1:20">
      <c r="A3190" s="285" t="s">
        <v>97</v>
      </c>
      <c r="B3190" s="273">
        <f t="shared" ref="B3190:J3190" si="560">(1-B$2469)*B$3044</f>
        <v>0</v>
      </c>
      <c r="C3190" s="273">
        <f t="shared" si="560"/>
        <v>5.2144814301400916E-2</v>
      </c>
      <c r="D3190" s="273">
        <f t="shared" si="560"/>
        <v>7.3857523505545253E-3</v>
      </c>
      <c r="E3190" s="273">
        <f t="shared" si="560"/>
        <v>5.4781029381924383E-2</v>
      </c>
      <c r="F3190" s="273">
        <f t="shared" si="560"/>
        <v>1.046091843153792E-2</v>
      </c>
      <c r="G3190" s="273">
        <f t="shared" si="560"/>
        <v>0</v>
      </c>
      <c r="H3190" s="273">
        <f t="shared" si="560"/>
        <v>3.7255591420690945E-2</v>
      </c>
      <c r="I3190" s="273">
        <f t="shared" si="560"/>
        <v>4.1779481899658303E-3</v>
      </c>
      <c r="J3190" s="273">
        <f t="shared" si="560"/>
        <v>8.9731295489530218E-3</v>
      </c>
      <c r="K3190" s="273">
        <f t="shared" ref="K3190:S3190" si="561">(1-B$2469)*K$3044</f>
        <v>9.6863900528393991E-3</v>
      </c>
      <c r="L3190" s="273">
        <f t="shared" si="561"/>
        <v>3.4340575639558245E-2</v>
      </c>
      <c r="M3190" s="273">
        <f t="shared" si="561"/>
        <v>4.8639733528104377E-3</v>
      </c>
      <c r="N3190" s="273">
        <f t="shared" si="561"/>
        <v>3.6076685827842639E-2</v>
      </c>
      <c r="O3190" s="273">
        <f t="shared" si="561"/>
        <v>3.625873601090164E-2</v>
      </c>
      <c r="P3190" s="273">
        <f t="shared" si="561"/>
        <v>0</v>
      </c>
      <c r="Q3190" s="273">
        <f t="shared" si="561"/>
        <v>0.1291321276514581</v>
      </c>
      <c r="R3190" s="273">
        <f t="shared" si="561"/>
        <v>5.502873018451708E-2</v>
      </c>
      <c r="S3190" s="273">
        <f t="shared" si="561"/>
        <v>0.11818718241790638</v>
      </c>
      <c r="T3190" s="265"/>
    </row>
    <row r="3192" spans="1:20" ht="21" customHeight="1">
      <c r="A3192" s="1" t="s">
        <v>1143</v>
      </c>
    </row>
    <row r="3193" spans="1:20">
      <c r="A3193" s="264" t="s">
        <v>217</v>
      </c>
    </row>
    <row r="3194" spans="1:20">
      <c r="A3194" s="269" t="s">
        <v>671</v>
      </c>
    </row>
    <row r="3195" spans="1:20">
      <c r="A3195" s="269" t="s">
        <v>1142</v>
      </c>
    </row>
    <row r="3196" spans="1:20">
      <c r="A3196" s="264" t="s">
        <v>1141</v>
      </c>
    </row>
    <row r="3198" spans="1:20" ht="30">
      <c r="B3198" s="284" t="s">
        <v>22</v>
      </c>
      <c r="C3198" s="284" t="s">
        <v>182</v>
      </c>
      <c r="D3198" s="284" t="s">
        <v>183</v>
      </c>
      <c r="E3198" s="284" t="s">
        <v>184</v>
      </c>
      <c r="F3198" s="284" t="s">
        <v>185</v>
      </c>
      <c r="G3198" s="284" t="s">
        <v>186</v>
      </c>
      <c r="H3198" s="284" t="s">
        <v>187</v>
      </c>
      <c r="I3198" s="284" t="s">
        <v>188</v>
      </c>
      <c r="J3198" s="284" t="s">
        <v>189</v>
      </c>
      <c r="K3198" s="284" t="s">
        <v>170</v>
      </c>
      <c r="L3198" s="284" t="s">
        <v>567</v>
      </c>
      <c r="M3198" s="284" t="s">
        <v>568</v>
      </c>
      <c r="N3198" s="284" t="s">
        <v>569</v>
      </c>
      <c r="O3198" s="284" t="s">
        <v>570</v>
      </c>
      <c r="P3198" s="284" t="s">
        <v>571</v>
      </c>
      <c r="Q3198" s="284" t="s">
        <v>572</v>
      </c>
      <c r="R3198" s="284" t="s">
        <v>573</v>
      </c>
      <c r="S3198" s="284" t="s">
        <v>574</v>
      </c>
    </row>
    <row r="3199" spans="1:20">
      <c r="A3199" s="285" t="s">
        <v>1178</v>
      </c>
      <c r="B3199" s="273">
        <f t="shared" ref="B3199:J3199" si="562">(1-B$2460)*B$3062</f>
        <v>0</v>
      </c>
      <c r="C3199" s="273">
        <f t="shared" si="562"/>
        <v>3.0624806715915023E-2</v>
      </c>
      <c r="D3199" s="273">
        <f t="shared" si="562"/>
        <v>4.3376746320347064E-3</v>
      </c>
      <c r="E3199" s="273">
        <f t="shared" si="562"/>
        <v>1.4544905068981947E-2</v>
      </c>
      <c r="F3199" s="273">
        <f t="shared" si="562"/>
        <v>2.7774772989440609E-3</v>
      </c>
      <c r="G3199" s="273">
        <f t="shared" si="562"/>
        <v>0</v>
      </c>
      <c r="H3199" s="273">
        <f t="shared" si="562"/>
        <v>9.8917279689075561E-3</v>
      </c>
      <c r="I3199" s="273">
        <f t="shared" si="562"/>
        <v>1.1092865631004186E-3</v>
      </c>
      <c r="J3199" s="273">
        <f t="shared" si="562"/>
        <v>0</v>
      </c>
      <c r="K3199" s="273">
        <f t="shared" ref="K3199:S3199" si="563">(1-B$2460)*K$3062</f>
        <v>0</v>
      </c>
      <c r="L3199" s="273">
        <f t="shared" si="563"/>
        <v>2.0168323649519201E-2</v>
      </c>
      <c r="M3199" s="273">
        <f t="shared" si="563"/>
        <v>2.8566262205900481E-3</v>
      </c>
      <c r="N3199" s="273">
        <f t="shared" si="563"/>
        <v>9.578716874980792E-3</v>
      </c>
      <c r="O3199" s="273">
        <f t="shared" si="563"/>
        <v>9.6270529990050979E-3</v>
      </c>
      <c r="P3199" s="273">
        <f t="shared" si="563"/>
        <v>0</v>
      </c>
      <c r="Q3199" s="273">
        <f t="shared" si="563"/>
        <v>3.4285856969782577E-2</v>
      </c>
      <c r="R3199" s="273">
        <f t="shared" si="563"/>
        <v>1.4610672081757542E-2</v>
      </c>
      <c r="S3199" s="273">
        <f t="shared" si="563"/>
        <v>0</v>
      </c>
      <c r="T3199" s="265"/>
    </row>
    <row r="3200" spans="1:20">
      <c r="A3200" s="285" t="s">
        <v>1177</v>
      </c>
      <c r="B3200" s="273">
        <f t="shared" ref="B3200:J3200" si="564">(1-B$2461)*B$3063</f>
        <v>0</v>
      </c>
      <c r="C3200" s="273">
        <f t="shared" si="564"/>
        <v>3.1225050043192332E-2</v>
      </c>
      <c r="D3200" s="273">
        <f t="shared" si="564"/>
        <v>4.4226926462847633E-3</v>
      </c>
      <c r="E3200" s="273">
        <f t="shared" si="564"/>
        <v>1.4835092792568194E-2</v>
      </c>
      <c r="F3200" s="273">
        <f t="shared" si="564"/>
        <v>2.8328911920475564E-3</v>
      </c>
      <c r="G3200" s="273">
        <f t="shared" si="564"/>
        <v>0</v>
      </c>
      <c r="H3200" s="273">
        <f t="shared" si="564"/>
        <v>1.0089079413143047E-2</v>
      </c>
      <c r="I3200" s="273">
        <f t="shared" si="564"/>
        <v>1.1314181164535856E-3</v>
      </c>
      <c r="J3200" s="273">
        <f t="shared" si="564"/>
        <v>0</v>
      </c>
      <c r="K3200" s="273">
        <f t="shared" ref="K3200:S3200" si="565">(1-B$2461)*K$3063</f>
        <v>0</v>
      </c>
      <c r="L3200" s="273">
        <f t="shared" si="565"/>
        <v>2.0563620893524402E-2</v>
      </c>
      <c r="M3200" s="273">
        <f t="shared" si="565"/>
        <v>2.9126158254662647E-3</v>
      </c>
      <c r="N3200" s="273">
        <f t="shared" si="565"/>
        <v>9.7698233848992084E-3</v>
      </c>
      <c r="O3200" s="273">
        <f t="shared" si="565"/>
        <v>9.8191238706523184E-3</v>
      </c>
      <c r="P3200" s="273">
        <f t="shared" si="565"/>
        <v>0</v>
      </c>
      <c r="Q3200" s="273">
        <f t="shared" si="565"/>
        <v>3.4969899577010209E-2</v>
      </c>
      <c r="R3200" s="273">
        <f t="shared" si="565"/>
        <v>1.4902171933517465E-2</v>
      </c>
      <c r="S3200" s="273">
        <f t="shared" si="565"/>
        <v>0</v>
      </c>
      <c r="T3200" s="265"/>
    </row>
    <row r="3201" spans="1:20">
      <c r="A3201" s="285" t="s">
        <v>60</v>
      </c>
      <c r="B3201" s="273">
        <f t="shared" ref="B3201:J3201" si="566">(1-B$2462)*B$3064</f>
        <v>0</v>
      </c>
      <c r="C3201" s="273">
        <f t="shared" si="566"/>
        <v>2.4647822653770152E-2</v>
      </c>
      <c r="D3201" s="273">
        <f t="shared" si="566"/>
        <v>3.4910990966218326E-3</v>
      </c>
      <c r="E3201" s="273">
        <f t="shared" si="566"/>
        <v>1.1707033384784122E-2</v>
      </c>
      <c r="F3201" s="273">
        <f t="shared" si="566"/>
        <v>2.2355607898439218E-3</v>
      </c>
      <c r="G3201" s="273">
        <f t="shared" si="566"/>
        <v>0</v>
      </c>
      <c r="H3201" s="273">
        <f t="shared" si="566"/>
        <v>6.3693940395478481E-3</v>
      </c>
      <c r="I3201" s="273">
        <f t="shared" si="566"/>
        <v>0</v>
      </c>
      <c r="J3201" s="273">
        <f t="shared" si="566"/>
        <v>0</v>
      </c>
      <c r="K3201" s="273">
        <f t="shared" ref="K3201:S3201" si="567">(1-B$2462)*K$3064</f>
        <v>0</v>
      </c>
      <c r="L3201" s="273">
        <f t="shared" si="567"/>
        <v>1.6232111083948599E-2</v>
      </c>
      <c r="M3201" s="273">
        <f t="shared" si="567"/>
        <v>2.2991040278671515E-3</v>
      </c>
      <c r="N3201" s="273">
        <f t="shared" si="567"/>
        <v>7.7098033783622446E-3</v>
      </c>
      <c r="O3201" s="273">
        <f t="shared" si="567"/>
        <v>7.7487085905282834E-3</v>
      </c>
      <c r="P3201" s="273">
        <f t="shared" si="567"/>
        <v>0</v>
      </c>
      <c r="Q3201" s="273">
        <f t="shared" si="567"/>
        <v>2.2077045963106997E-2</v>
      </c>
      <c r="R3201" s="273">
        <f t="shared" si="567"/>
        <v>0</v>
      </c>
      <c r="S3201" s="273">
        <f t="shared" si="567"/>
        <v>0</v>
      </c>
      <c r="T3201" s="265"/>
    </row>
    <row r="3202" spans="1:20">
      <c r="A3202" s="285" t="s">
        <v>61</v>
      </c>
      <c r="B3202" s="273">
        <f t="shared" ref="B3202:J3202" si="568">(1-B$2463)*B$3065</f>
        <v>0</v>
      </c>
      <c r="C3202" s="273">
        <f t="shared" si="568"/>
        <v>2.3220321324830803E-2</v>
      </c>
      <c r="D3202" s="273">
        <f t="shared" si="568"/>
        <v>3.2889088800704181E-3</v>
      </c>
      <c r="E3202" s="273">
        <f t="shared" si="568"/>
        <v>1.102900977395777E-2</v>
      </c>
      <c r="F3202" s="273">
        <f t="shared" si="568"/>
        <v>2.1060862296259715E-3</v>
      </c>
      <c r="G3202" s="273">
        <f t="shared" si="568"/>
        <v>0</v>
      </c>
      <c r="H3202" s="273">
        <f t="shared" si="568"/>
        <v>0</v>
      </c>
      <c r="I3202" s="273">
        <f t="shared" si="568"/>
        <v>0</v>
      </c>
      <c r="J3202" s="273">
        <f t="shared" si="568"/>
        <v>0</v>
      </c>
      <c r="K3202" s="273">
        <f t="shared" ref="K3202:S3202" si="569">(1-B$2463)*K$3065</f>
        <v>0</v>
      </c>
      <c r="L3202" s="273">
        <f t="shared" si="569"/>
        <v>1.5292013434378587E-2</v>
      </c>
      <c r="M3202" s="273">
        <f t="shared" si="569"/>
        <v>2.165949302549125E-3</v>
      </c>
      <c r="N3202" s="273">
        <f t="shared" si="569"/>
        <v>7.2632830214499153E-3</v>
      </c>
      <c r="O3202" s="273">
        <f t="shared" si="569"/>
        <v>7.299935002454328E-3</v>
      </c>
      <c r="P3202" s="273">
        <f t="shared" si="569"/>
        <v>0</v>
      </c>
      <c r="Q3202" s="273">
        <f t="shared" si="569"/>
        <v>0</v>
      </c>
      <c r="R3202" s="273">
        <f t="shared" si="569"/>
        <v>0</v>
      </c>
      <c r="S3202" s="273">
        <f t="shared" si="569"/>
        <v>0</v>
      </c>
      <c r="T3202" s="265"/>
    </row>
    <row r="3203" spans="1:20">
      <c r="A3203" s="285" t="s">
        <v>73</v>
      </c>
      <c r="B3203" s="273">
        <f t="shared" ref="B3203:J3203" si="570">(1-B$2464)*B$3066</f>
        <v>0</v>
      </c>
      <c r="C3203" s="273">
        <f t="shared" si="570"/>
        <v>2.1111121375311084E-2</v>
      </c>
      <c r="D3203" s="273">
        <f t="shared" si="570"/>
        <v>9.8675391628343947E-4</v>
      </c>
      <c r="E3203" s="273">
        <f t="shared" si="570"/>
        <v>2.6471803224778069E-3</v>
      </c>
      <c r="F3203" s="273">
        <f t="shared" si="570"/>
        <v>0</v>
      </c>
      <c r="G3203" s="273">
        <f t="shared" si="570"/>
        <v>0</v>
      </c>
      <c r="H3203" s="273">
        <f t="shared" si="570"/>
        <v>0</v>
      </c>
      <c r="I3203" s="273">
        <f t="shared" si="570"/>
        <v>0</v>
      </c>
      <c r="J3203" s="273">
        <f t="shared" si="570"/>
        <v>0</v>
      </c>
      <c r="K3203" s="273">
        <f t="shared" ref="K3203:S3203" si="571">(1-B$2464)*K$3066</f>
        <v>0</v>
      </c>
      <c r="L3203" s="273">
        <f t="shared" si="571"/>
        <v>1.3902975207359945E-2</v>
      </c>
      <c r="M3203" s="273">
        <f t="shared" si="571"/>
        <v>1.9692069708780466E-3</v>
      </c>
      <c r="N3203" s="273">
        <f t="shared" si="571"/>
        <v>5.2828226553469602E-3</v>
      </c>
      <c r="O3203" s="273">
        <f t="shared" si="571"/>
        <v>0</v>
      </c>
      <c r="P3203" s="273">
        <f t="shared" si="571"/>
        <v>0</v>
      </c>
      <c r="Q3203" s="273">
        <f t="shared" si="571"/>
        <v>0</v>
      </c>
      <c r="R3203" s="273">
        <f t="shared" si="571"/>
        <v>0</v>
      </c>
      <c r="S3203" s="273">
        <f t="shared" si="571"/>
        <v>0</v>
      </c>
      <c r="T3203" s="265"/>
    </row>
    <row r="3204" spans="1:20">
      <c r="A3204" s="285" t="s">
        <v>97</v>
      </c>
      <c r="B3204" s="273">
        <f t="shared" ref="B3204:J3204" si="572">(1-B$2469)*B$3067</f>
        <v>0</v>
      </c>
      <c r="C3204" s="273">
        <f t="shared" si="572"/>
        <v>2.1200653855416786E-2</v>
      </c>
      <c r="D3204" s="273">
        <f t="shared" si="572"/>
        <v>3.0028446959438231E-3</v>
      </c>
      <c r="E3204" s="273">
        <f t="shared" si="572"/>
        <v>1.0069723640544457E-2</v>
      </c>
      <c r="F3204" s="273">
        <f t="shared" si="572"/>
        <v>1.9229021217812726E-3</v>
      </c>
      <c r="G3204" s="273">
        <f t="shared" si="572"/>
        <v>0</v>
      </c>
      <c r="H3204" s="273">
        <f t="shared" si="572"/>
        <v>6.8482376819881917E-3</v>
      </c>
      <c r="I3204" s="273">
        <f t="shared" si="572"/>
        <v>7.6798088922641833E-4</v>
      </c>
      <c r="J3204" s="273">
        <f t="shared" si="572"/>
        <v>1.6494201691393288E-3</v>
      </c>
      <c r="K3204" s="273">
        <f t="shared" ref="K3204:S3204" si="573">(1-B$2469)*K$3067</f>
        <v>0</v>
      </c>
      <c r="L3204" s="273">
        <f t="shared" si="573"/>
        <v>1.3961937866379032E-2</v>
      </c>
      <c r="M3204" s="273">
        <f t="shared" si="573"/>
        <v>1.9775583976359991E-3</v>
      </c>
      <c r="N3204" s="273">
        <f t="shared" si="573"/>
        <v>6.6315339498346712E-3</v>
      </c>
      <c r="O3204" s="273">
        <f t="shared" si="573"/>
        <v>6.664997998480672E-3</v>
      </c>
      <c r="P3204" s="273">
        <f t="shared" si="573"/>
        <v>0</v>
      </c>
      <c r="Q3204" s="273">
        <f t="shared" si="573"/>
        <v>2.3736772624333862E-2</v>
      </c>
      <c r="R3204" s="273">
        <f t="shared" si="573"/>
        <v>1.0115255436054536E-2</v>
      </c>
      <c r="S3204" s="273">
        <f t="shared" si="573"/>
        <v>2.1724897801858812E-2</v>
      </c>
      <c r="T3204" s="265"/>
    </row>
    <row r="3206" spans="1:20" ht="21" customHeight="1">
      <c r="A3206" s="1" t="s">
        <v>1580</v>
      </c>
    </row>
    <row r="3207" spans="1:20">
      <c r="A3207" s="264" t="s">
        <v>217</v>
      </c>
    </row>
    <row r="3208" spans="1:20">
      <c r="A3208" s="269" t="s">
        <v>671</v>
      </c>
    </row>
    <row r="3209" spans="1:20">
      <c r="A3209" s="269" t="s">
        <v>672</v>
      </c>
    </row>
    <row r="3210" spans="1:20">
      <c r="A3210" s="269" t="s">
        <v>673</v>
      </c>
    </row>
    <row r="3211" spans="1:20">
      <c r="A3211" s="269" t="s">
        <v>674</v>
      </c>
    </row>
    <row r="3212" spans="1:20">
      <c r="A3212" s="269" t="s">
        <v>480</v>
      </c>
    </row>
    <row r="3213" spans="1:20">
      <c r="A3213" s="264" t="s">
        <v>1581</v>
      </c>
    </row>
    <row r="3215" spans="1:20" ht="30">
      <c r="B3215" s="284" t="s">
        <v>22</v>
      </c>
      <c r="C3215" s="284" t="s">
        <v>182</v>
      </c>
      <c r="D3215" s="284" t="s">
        <v>183</v>
      </c>
      <c r="E3215" s="284" t="s">
        <v>184</v>
      </c>
      <c r="F3215" s="284" t="s">
        <v>185</v>
      </c>
      <c r="G3215" s="284" t="s">
        <v>186</v>
      </c>
      <c r="H3215" s="284" t="s">
        <v>187</v>
      </c>
      <c r="I3215" s="284" t="s">
        <v>188</v>
      </c>
      <c r="J3215" s="284" t="s">
        <v>189</v>
      </c>
      <c r="K3215" s="284" t="s">
        <v>170</v>
      </c>
      <c r="L3215" s="284" t="s">
        <v>567</v>
      </c>
      <c r="M3215" s="284" t="s">
        <v>568</v>
      </c>
      <c r="N3215" s="284" t="s">
        <v>569</v>
      </c>
      <c r="O3215" s="284" t="s">
        <v>570</v>
      </c>
      <c r="P3215" s="284" t="s">
        <v>571</v>
      </c>
      <c r="Q3215" s="284" t="s">
        <v>572</v>
      </c>
      <c r="R3215" s="284" t="s">
        <v>573</v>
      </c>
      <c r="S3215" s="284" t="s">
        <v>574</v>
      </c>
    </row>
    <row r="3216" spans="1:20">
      <c r="A3216" s="285" t="s">
        <v>54</v>
      </c>
      <c r="B3216" s="273">
        <f t="shared" ref="B3216:J3216" si="574">100*B2451*B$612*B$3085*$E$14/$F$14</f>
        <v>0</v>
      </c>
      <c r="C3216" s="273">
        <f t="shared" si="574"/>
        <v>0</v>
      </c>
      <c r="D3216" s="273">
        <f t="shared" si="574"/>
        <v>0</v>
      </c>
      <c r="E3216" s="273">
        <f t="shared" si="574"/>
        <v>0</v>
      </c>
      <c r="F3216" s="273">
        <f t="shared" si="574"/>
        <v>0</v>
      </c>
      <c r="G3216" s="273">
        <f t="shared" si="574"/>
        <v>0</v>
      </c>
      <c r="H3216" s="273">
        <f t="shared" si="574"/>
        <v>0</v>
      </c>
      <c r="I3216" s="273">
        <f t="shared" si="574"/>
        <v>0</v>
      </c>
      <c r="J3216" s="273">
        <f t="shared" si="574"/>
        <v>2.6902787137289828</v>
      </c>
      <c r="K3216" s="273">
        <f t="shared" ref="K3216:S3216" si="575">100*B2451*B$612*K$3085*$E$14/$F$14</f>
        <v>0</v>
      </c>
      <c r="L3216" s="273">
        <f t="shared" si="575"/>
        <v>0</v>
      </c>
      <c r="M3216" s="273">
        <f t="shared" si="575"/>
        <v>0</v>
      </c>
      <c r="N3216" s="273">
        <f t="shared" si="575"/>
        <v>0</v>
      </c>
      <c r="O3216" s="273">
        <f t="shared" si="575"/>
        <v>0</v>
      </c>
      <c r="P3216" s="273">
        <f t="shared" si="575"/>
        <v>0</v>
      </c>
      <c r="Q3216" s="273">
        <f t="shared" si="575"/>
        <v>0</v>
      </c>
      <c r="R3216" s="273">
        <f t="shared" si="575"/>
        <v>0</v>
      </c>
      <c r="S3216" s="273">
        <f t="shared" si="575"/>
        <v>1.7717144244930523</v>
      </c>
      <c r="T3216" s="265"/>
    </row>
    <row r="3217" spans="1:20">
      <c r="A3217" s="285" t="s">
        <v>55</v>
      </c>
      <c r="B3217" s="273">
        <f t="shared" ref="B3217:J3217" si="576">100*B2452*B$613*B$3085*$E$14/$F$14</f>
        <v>0</v>
      </c>
      <c r="C3217" s="273">
        <f t="shared" si="576"/>
        <v>0</v>
      </c>
      <c r="D3217" s="273">
        <f t="shared" si="576"/>
        <v>0</v>
      </c>
      <c r="E3217" s="273">
        <f t="shared" si="576"/>
        <v>0</v>
      </c>
      <c r="F3217" s="273">
        <f t="shared" si="576"/>
        <v>0</v>
      </c>
      <c r="G3217" s="273">
        <f t="shared" si="576"/>
        <v>0</v>
      </c>
      <c r="H3217" s="273">
        <f t="shared" si="576"/>
        <v>0</v>
      </c>
      <c r="I3217" s="273">
        <f t="shared" si="576"/>
        <v>0</v>
      </c>
      <c r="J3217" s="273">
        <f t="shared" si="576"/>
        <v>2.6902787137289828</v>
      </c>
      <c r="K3217" s="273">
        <f t="shared" ref="K3217:S3217" si="577">100*B2452*B$613*K$3085*$E$14/$F$14</f>
        <v>0</v>
      </c>
      <c r="L3217" s="273">
        <f t="shared" si="577"/>
        <v>0</v>
      </c>
      <c r="M3217" s="273">
        <f t="shared" si="577"/>
        <v>0</v>
      </c>
      <c r="N3217" s="273">
        <f t="shared" si="577"/>
        <v>0</v>
      </c>
      <c r="O3217" s="273">
        <f t="shared" si="577"/>
        <v>0</v>
      </c>
      <c r="P3217" s="273">
        <f t="shared" si="577"/>
        <v>0</v>
      </c>
      <c r="Q3217" s="273">
        <f t="shared" si="577"/>
        <v>0</v>
      </c>
      <c r="R3217" s="273">
        <f t="shared" si="577"/>
        <v>0</v>
      </c>
      <c r="S3217" s="273">
        <f t="shared" si="577"/>
        <v>1.7717144244930523</v>
      </c>
      <c r="T3217" s="265"/>
    </row>
    <row r="3218" spans="1:20">
      <c r="A3218" s="285" t="s">
        <v>91</v>
      </c>
      <c r="B3218" s="273">
        <f t="shared" ref="B3218:J3218" si="578">100*B2453*B$614*B$3085*$E$14/$F$14</f>
        <v>0</v>
      </c>
      <c r="C3218" s="273">
        <f t="shared" si="578"/>
        <v>0</v>
      </c>
      <c r="D3218" s="273">
        <f t="shared" si="578"/>
        <v>0</v>
      </c>
      <c r="E3218" s="273">
        <f t="shared" si="578"/>
        <v>0</v>
      </c>
      <c r="F3218" s="273">
        <f t="shared" si="578"/>
        <v>0</v>
      </c>
      <c r="G3218" s="273">
        <f t="shared" si="578"/>
        <v>0</v>
      </c>
      <c r="H3218" s="273">
        <f t="shared" si="578"/>
        <v>0</v>
      </c>
      <c r="I3218" s="273">
        <f t="shared" si="578"/>
        <v>0</v>
      </c>
      <c r="J3218" s="273">
        <f t="shared" si="578"/>
        <v>2.6902787137289828</v>
      </c>
      <c r="K3218" s="273">
        <f t="shared" ref="K3218:S3218" si="579">100*B2453*B$614*K$3085*$E$14/$F$14</f>
        <v>0</v>
      </c>
      <c r="L3218" s="273">
        <f t="shared" si="579"/>
        <v>0</v>
      </c>
      <c r="M3218" s="273">
        <f t="shared" si="579"/>
        <v>0</v>
      </c>
      <c r="N3218" s="273">
        <f t="shared" si="579"/>
        <v>0</v>
      </c>
      <c r="O3218" s="273">
        <f t="shared" si="579"/>
        <v>0</v>
      </c>
      <c r="P3218" s="273">
        <f t="shared" si="579"/>
        <v>0</v>
      </c>
      <c r="Q3218" s="273">
        <f t="shared" si="579"/>
        <v>0</v>
      </c>
      <c r="R3218" s="273">
        <f t="shared" si="579"/>
        <v>0</v>
      </c>
      <c r="S3218" s="273">
        <f t="shared" si="579"/>
        <v>1.7717144244930523</v>
      </c>
      <c r="T3218" s="265"/>
    </row>
    <row r="3219" spans="1:20">
      <c r="A3219" s="285" t="s">
        <v>56</v>
      </c>
      <c r="B3219" s="273">
        <f t="shared" ref="B3219:J3219" si="580">100*B2454*B$615*B$3085*$E$14/$F$14</f>
        <v>0</v>
      </c>
      <c r="C3219" s="273">
        <f t="shared" si="580"/>
        <v>0</v>
      </c>
      <c r="D3219" s="273">
        <f t="shared" si="580"/>
        <v>0</v>
      </c>
      <c r="E3219" s="273">
        <f t="shared" si="580"/>
        <v>0</v>
      </c>
      <c r="F3219" s="273">
        <f t="shared" si="580"/>
        <v>0</v>
      </c>
      <c r="G3219" s="273">
        <f t="shared" si="580"/>
        <v>0</v>
      </c>
      <c r="H3219" s="273">
        <f t="shared" si="580"/>
        <v>0</v>
      </c>
      <c r="I3219" s="273">
        <f t="shared" si="580"/>
        <v>0</v>
      </c>
      <c r="J3219" s="273">
        <f t="shared" si="580"/>
        <v>2.6902787137289828</v>
      </c>
      <c r="K3219" s="273">
        <f t="shared" ref="K3219:S3219" si="581">100*B2454*B$615*K$3085*$E$14/$F$14</f>
        <v>0</v>
      </c>
      <c r="L3219" s="273">
        <f t="shared" si="581"/>
        <v>0</v>
      </c>
      <c r="M3219" s="273">
        <f t="shared" si="581"/>
        <v>0</v>
      </c>
      <c r="N3219" s="273">
        <f t="shared" si="581"/>
        <v>0</v>
      </c>
      <c r="O3219" s="273">
        <f t="shared" si="581"/>
        <v>0</v>
      </c>
      <c r="P3219" s="273">
        <f t="shared" si="581"/>
        <v>0</v>
      </c>
      <c r="Q3219" s="273">
        <f t="shared" si="581"/>
        <v>0</v>
      </c>
      <c r="R3219" s="273">
        <f t="shared" si="581"/>
        <v>0</v>
      </c>
      <c r="S3219" s="273">
        <f t="shared" si="581"/>
        <v>1.7717144244930523</v>
      </c>
      <c r="T3219" s="265"/>
    </row>
    <row r="3220" spans="1:20">
      <c r="A3220" s="285" t="s">
        <v>57</v>
      </c>
      <c r="B3220" s="273">
        <f t="shared" ref="B3220:J3220" si="582">100*B2455*B$616*B$3085*$E$14/$F$14</f>
        <v>0</v>
      </c>
      <c r="C3220" s="273">
        <f t="shared" si="582"/>
        <v>0</v>
      </c>
      <c r="D3220" s="273">
        <f t="shared" si="582"/>
        <v>0</v>
      </c>
      <c r="E3220" s="273">
        <f t="shared" si="582"/>
        <v>0</v>
      </c>
      <c r="F3220" s="273">
        <f t="shared" si="582"/>
        <v>0</v>
      </c>
      <c r="G3220" s="273">
        <f t="shared" si="582"/>
        <v>0</v>
      </c>
      <c r="H3220" s="273">
        <f t="shared" si="582"/>
        <v>0</v>
      </c>
      <c r="I3220" s="273">
        <f t="shared" si="582"/>
        <v>0</v>
      </c>
      <c r="J3220" s="273">
        <f t="shared" si="582"/>
        <v>2.6902787137289828</v>
      </c>
      <c r="K3220" s="273">
        <f t="shared" ref="K3220:S3220" si="583">100*B2455*B$616*K$3085*$E$14/$F$14</f>
        <v>0</v>
      </c>
      <c r="L3220" s="273">
        <f t="shared" si="583"/>
        <v>0</v>
      </c>
      <c r="M3220" s="273">
        <f t="shared" si="583"/>
        <v>0</v>
      </c>
      <c r="N3220" s="273">
        <f t="shared" si="583"/>
        <v>0</v>
      </c>
      <c r="O3220" s="273">
        <f t="shared" si="583"/>
        <v>0</v>
      </c>
      <c r="P3220" s="273">
        <f t="shared" si="583"/>
        <v>0</v>
      </c>
      <c r="Q3220" s="273">
        <f t="shared" si="583"/>
        <v>0</v>
      </c>
      <c r="R3220" s="273">
        <f t="shared" si="583"/>
        <v>0</v>
      </c>
      <c r="S3220" s="273">
        <f t="shared" si="583"/>
        <v>1.7717144244930523</v>
      </c>
      <c r="T3220" s="265"/>
    </row>
    <row r="3221" spans="1:20">
      <c r="A3221" s="285" t="s">
        <v>92</v>
      </c>
      <c r="B3221" s="273">
        <f t="shared" ref="B3221:J3221" si="584">100*B2456*B$617*B$3085*$E$14/$F$14</f>
        <v>0</v>
      </c>
      <c r="C3221" s="273">
        <f t="shared" si="584"/>
        <v>0</v>
      </c>
      <c r="D3221" s="273">
        <f t="shared" si="584"/>
        <v>0</v>
      </c>
      <c r="E3221" s="273">
        <f t="shared" si="584"/>
        <v>0</v>
      </c>
      <c r="F3221" s="273">
        <f t="shared" si="584"/>
        <v>0</v>
      </c>
      <c r="G3221" s="273">
        <f t="shared" si="584"/>
        <v>0</v>
      </c>
      <c r="H3221" s="273">
        <f t="shared" si="584"/>
        <v>0</v>
      </c>
      <c r="I3221" s="273">
        <f t="shared" si="584"/>
        <v>0</v>
      </c>
      <c r="J3221" s="273">
        <f t="shared" si="584"/>
        <v>2.6902787137289828</v>
      </c>
      <c r="K3221" s="273">
        <f t="shared" ref="K3221:S3221" si="585">100*B2456*B$617*K$3085*$E$14/$F$14</f>
        <v>0</v>
      </c>
      <c r="L3221" s="273">
        <f t="shared" si="585"/>
        <v>0</v>
      </c>
      <c r="M3221" s="273">
        <f t="shared" si="585"/>
        <v>0</v>
      </c>
      <c r="N3221" s="273">
        <f t="shared" si="585"/>
        <v>0</v>
      </c>
      <c r="O3221" s="273">
        <f t="shared" si="585"/>
        <v>0</v>
      </c>
      <c r="P3221" s="273">
        <f t="shared" si="585"/>
        <v>0</v>
      </c>
      <c r="Q3221" s="273">
        <f t="shared" si="585"/>
        <v>0</v>
      </c>
      <c r="R3221" s="273">
        <f t="shared" si="585"/>
        <v>0</v>
      </c>
      <c r="S3221" s="273">
        <f t="shared" si="585"/>
        <v>1.7717144244930523</v>
      </c>
      <c r="T3221" s="265"/>
    </row>
    <row r="3222" spans="1:20">
      <c r="A3222" s="285" t="s">
        <v>58</v>
      </c>
      <c r="B3222" s="273">
        <f t="shared" ref="B3222:J3222" si="586">100*B2457*B$618*B$3085*$E$14/$F$14</f>
        <v>0</v>
      </c>
      <c r="C3222" s="273">
        <f t="shared" si="586"/>
        <v>0</v>
      </c>
      <c r="D3222" s="273">
        <f t="shared" si="586"/>
        <v>0</v>
      </c>
      <c r="E3222" s="273">
        <f t="shared" si="586"/>
        <v>0</v>
      </c>
      <c r="F3222" s="273">
        <f t="shared" si="586"/>
        <v>0</v>
      </c>
      <c r="G3222" s="273">
        <f t="shared" si="586"/>
        <v>0</v>
      </c>
      <c r="H3222" s="273">
        <f t="shared" si="586"/>
        <v>0</v>
      </c>
      <c r="I3222" s="273">
        <f t="shared" si="586"/>
        <v>0</v>
      </c>
      <c r="J3222" s="273">
        <f t="shared" si="586"/>
        <v>2.6902787137289828</v>
      </c>
      <c r="K3222" s="273">
        <f t="shared" ref="K3222:S3222" si="587">100*B2457*B$618*K$3085*$E$14/$F$14</f>
        <v>0</v>
      </c>
      <c r="L3222" s="273">
        <f t="shared" si="587"/>
        <v>0</v>
      </c>
      <c r="M3222" s="273">
        <f t="shared" si="587"/>
        <v>0</v>
      </c>
      <c r="N3222" s="273">
        <f t="shared" si="587"/>
        <v>0</v>
      </c>
      <c r="O3222" s="273">
        <f t="shared" si="587"/>
        <v>0</v>
      </c>
      <c r="P3222" s="273">
        <f t="shared" si="587"/>
        <v>0</v>
      </c>
      <c r="Q3222" s="273">
        <f t="shared" si="587"/>
        <v>0</v>
      </c>
      <c r="R3222" s="273">
        <f t="shared" si="587"/>
        <v>0</v>
      </c>
      <c r="S3222" s="273">
        <f t="shared" si="587"/>
        <v>1.7717144244930523</v>
      </c>
      <c r="T3222" s="265"/>
    </row>
    <row r="3223" spans="1:20">
      <c r="A3223" s="285" t="s">
        <v>59</v>
      </c>
      <c r="B3223" s="273">
        <f t="shared" ref="B3223:J3223" si="588">100*B2458*B$619*B$3085*$E$14/$F$14</f>
        <v>0</v>
      </c>
      <c r="C3223" s="273">
        <f t="shared" si="588"/>
        <v>0</v>
      </c>
      <c r="D3223" s="273">
        <f t="shared" si="588"/>
        <v>0</v>
      </c>
      <c r="E3223" s="273">
        <f t="shared" si="588"/>
        <v>0</v>
      </c>
      <c r="F3223" s="273">
        <f t="shared" si="588"/>
        <v>0</v>
      </c>
      <c r="G3223" s="273">
        <f t="shared" si="588"/>
        <v>0</v>
      </c>
      <c r="H3223" s="273">
        <f t="shared" si="588"/>
        <v>0</v>
      </c>
      <c r="I3223" s="273">
        <f t="shared" si="588"/>
        <v>1.364004905811057</v>
      </c>
      <c r="J3223" s="273">
        <f t="shared" si="588"/>
        <v>0</v>
      </c>
      <c r="K3223" s="273">
        <f t="shared" ref="K3223:S3223" si="589">100*B2458*B$619*K$3085*$E$14/$F$14</f>
        <v>0</v>
      </c>
      <c r="L3223" s="273">
        <f t="shared" si="589"/>
        <v>0</v>
      </c>
      <c r="M3223" s="273">
        <f t="shared" si="589"/>
        <v>0</v>
      </c>
      <c r="N3223" s="273">
        <f t="shared" si="589"/>
        <v>0</v>
      </c>
      <c r="O3223" s="273">
        <f t="shared" si="589"/>
        <v>0</v>
      </c>
      <c r="P3223" s="273">
        <f t="shared" si="589"/>
        <v>0</v>
      </c>
      <c r="Q3223" s="273">
        <f t="shared" si="589"/>
        <v>0</v>
      </c>
      <c r="R3223" s="273">
        <f t="shared" si="589"/>
        <v>0.89828133954011824</v>
      </c>
      <c r="S3223" s="273">
        <f t="shared" si="589"/>
        <v>0</v>
      </c>
      <c r="T3223" s="265"/>
    </row>
    <row r="3224" spans="1:20">
      <c r="A3224" s="285" t="s">
        <v>72</v>
      </c>
      <c r="B3224" s="273">
        <f t="shared" ref="B3224:J3224" si="590">100*B2459*B$620*B$3085*$E$14/$F$14</f>
        <v>0</v>
      </c>
      <c r="C3224" s="273">
        <f t="shared" si="590"/>
        <v>0</v>
      </c>
      <c r="D3224" s="273">
        <f t="shared" si="590"/>
        <v>0</v>
      </c>
      <c r="E3224" s="273">
        <f t="shared" si="590"/>
        <v>0.24245185066228511</v>
      </c>
      <c r="F3224" s="273">
        <f t="shared" si="590"/>
        <v>1.2183765563262712</v>
      </c>
      <c r="G3224" s="273">
        <f t="shared" si="590"/>
        <v>0</v>
      </c>
      <c r="H3224" s="273">
        <f t="shared" si="590"/>
        <v>3.1672519560399444</v>
      </c>
      <c r="I3224" s="273">
        <f t="shared" si="590"/>
        <v>0</v>
      </c>
      <c r="J3224" s="273">
        <f t="shared" si="590"/>
        <v>0</v>
      </c>
      <c r="K3224" s="273">
        <f t="shared" ref="K3224:S3224" si="591">100*B2459*B$620*K$3085*$E$14/$F$14</f>
        <v>0</v>
      </c>
      <c r="L3224" s="273">
        <f t="shared" si="591"/>
        <v>0</v>
      </c>
      <c r="M3224" s="273">
        <f t="shared" si="591"/>
        <v>0</v>
      </c>
      <c r="N3224" s="273">
        <f t="shared" si="591"/>
        <v>0.15966949404584221</v>
      </c>
      <c r="O3224" s="273">
        <f t="shared" si="591"/>
        <v>0.80237609147766675</v>
      </c>
      <c r="P3224" s="273">
        <f t="shared" si="591"/>
        <v>0</v>
      </c>
      <c r="Q3224" s="273">
        <f t="shared" si="591"/>
        <v>2.0858307163058862</v>
      </c>
      <c r="R3224" s="273">
        <f t="shared" si="591"/>
        <v>0</v>
      </c>
      <c r="S3224" s="273">
        <f t="shared" si="591"/>
        <v>0</v>
      </c>
      <c r="T3224" s="265"/>
    </row>
    <row r="3225" spans="1:20">
      <c r="A3225" s="285" t="s">
        <v>1178</v>
      </c>
      <c r="B3225" s="273">
        <f t="shared" ref="B3225:J3225" si="592">100*B2460*B$621*B$3085*$E$14/$F$14</f>
        <v>0</v>
      </c>
      <c r="C3225" s="273">
        <f t="shared" si="592"/>
        <v>0</v>
      </c>
      <c r="D3225" s="273">
        <f t="shared" si="592"/>
        <v>0</v>
      </c>
      <c r="E3225" s="273">
        <f t="shared" si="592"/>
        <v>0</v>
      </c>
      <c r="F3225" s="273">
        <f t="shared" si="592"/>
        <v>0</v>
      </c>
      <c r="G3225" s="273">
        <f t="shared" si="592"/>
        <v>0</v>
      </c>
      <c r="H3225" s="273">
        <f t="shared" si="592"/>
        <v>0</v>
      </c>
      <c r="I3225" s="273">
        <f t="shared" si="592"/>
        <v>0</v>
      </c>
      <c r="J3225" s="273">
        <f t="shared" si="592"/>
        <v>2.6902787137289828</v>
      </c>
      <c r="K3225" s="273">
        <f t="shared" ref="K3225:S3225" si="593">100*B2460*B$621*K$3085*$E$14/$F$14</f>
        <v>0</v>
      </c>
      <c r="L3225" s="273">
        <f t="shared" si="593"/>
        <v>0</v>
      </c>
      <c r="M3225" s="273">
        <f t="shared" si="593"/>
        <v>0</v>
      </c>
      <c r="N3225" s="273">
        <f t="shared" si="593"/>
        <v>0</v>
      </c>
      <c r="O3225" s="273">
        <f t="shared" si="593"/>
        <v>0</v>
      </c>
      <c r="P3225" s="273">
        <f t="shared" si="593"/>
        <v>0</v>
      </c>
      <c r="Q3225" s="273">
        <f t="shared" si="593"/>
        <v>0</v>
      </c>
      <c r="R3225" s="273">
        <f t="shared" si="593"/>
        <v>0</v>
      </c>
      <c r="S3225" s="273">
        <f t="shared" si="593"/>
        <v>1.7717144244930523</v>
      </c>
      <c r="T3225" s="265"/>
    </row>
    <row r="3226" spans="1:20">
      <c r="A3226" s="285" t="s">
        <v>1177</v>
      </c>
      <c r="B3226" s="273">
        <f t="shared" ref="B3226:J3226" si="594">100*B2461*B$622*B$3085*$E$14/$F$14</f>
        <v>0</v>
      </c>
      <c r="C3226" s="273">
        <f t="shared" si="594"/>
        <v>0</v>
      </c>
      <c r="D3226" s="273">
        <f t="shared" si="594"/>
        <v>0</v>
      </c>
      <c r="E3226" s="273">
        <f t="shared" si="594"/>
        <v>0</v>
      </c>
      <c r="F3226" s="273">
        <f t="shared" si="594"/>
        <v>0</v>
      </c>
      <c r="G3226" s="273">
        <f t="shared" si="594"/>
        <v>0</v>
      </c>
      <c r="H3226" s="273">
        <f t="shared" si="594"/>
        <v>0</v>
      </c>
      <c r="I3226" s="273">
        <f t="shared" si="594"/>
        <v>0</v>
      </c>
      <c r="J3226" s="273">
        <f t="shared" si="594"/>
        <v>2.6902787137289828</v>
      </c>
      <c r="K3226" s="273">
        <f t="shared" ref="K3226:S3226" si="595">100*B2461*B$622*K$3085*$E$14/$F$14</f>
        <v>0</v>
      </c>
      <c r="L3226" s="273">
        <f t="shared" si="595"/>
        <v>0</v>
      </c>
      <c r="M3226" s="273">
        <f t="shared" si="595"/>
        <v>0</v>
      </c>
      <c r="N3226" s="273">
        <f t="shared" si="595"/>
        <v>0</v>
      </c>
      <c r="O3226" s="273">
        <f t="shared" si="595"/>
        <v>0</v>
      </c>
      <c r="P3226" s="273">
        <f t="shared" si="595"/>
        <v>0</v>
      </c>
      <c r="Q3226" s="273">
        <f t="shared" si="595"/>
        <v>0</v>
      </c>
      <c r="R3226" s="273">
        <f t="shared" si="595"/>
        <v>0</v>
      </c>
      <c r="S3226" s="273">
        <f t="shared" si="595"/>
        <v>1.7717144244930523</v>
      </c>
      <c r="T3226" s="265"/>
    </row>
    <row r="3227" spans="1:20">
      <c r="A3227" s="285" t="s">
        <v>60</v>
      </c>
      <c r="B3227" s="273">
        <f t="shared" ref="B3227:J3227" si="596">100*B2462*B$623*B$3085*$E$14/$F$14</f>
        <v>0</v>
      </c>
      <c r="C3227" s="273">
        <f t="shared" si="596"/>
        <v>0</v>
      </c>
      <c r="D3227" s="273">
        <f t="shared" si="596"/>
        <v>0</v>
      </c>
      <c r="E3227" s="273">
        <f t="shared" si="596"/>
        <v>0</v>
      </c>
      <c r="F3227" s="273">
        <f t="shared" si="596"/>
        <v>0</v>
      </c>
      <c r="G3227" s="273">
        <f t="shared" si="596"/>
        <v>0</v>
      </c>
      <c r="H3227" s="273">
        <f t="shared" si="596"/>
        <v>0.64809664302782677</v>
      </c>
      <c r="I3227" s="273">
        <f t="shared" si="596"/>
        <v>1.3809086844340734</v>
      </c>
      <c r="J3227" s="273">
        <f t="shared" si="596"/>
        <v>2.6902787137289828</v>
      </c>
      <c r="K3227" s="273">
        <f t="shared" ref="K3227:S3227" si="597">100*B2462*B$623*K$3085*$E$14/$F$14</f>
        <v>0</v>
      </c>
      <c r="L3227" s="273">
        <f t="shared" si="597"/>
        <v>0</v>
      </c>
      <c r="M3227" s="273">
        <f t="shared" si="597"/>
        <v>0</v>
      </c>
      <c r="N3227" s="273">
        <f t="shared" si="597"/>
        <v>0</v>
      </c>
      <c r="O3227" s="273">
        <f t="shared" si="597"/>
        <v>0</v>
      </c>
      <c r="P3227" s="273">
        <f t="shared" si="597"/>
        <v>0</v>
      </c>
      <c r="Q3227" s="273">
        <f t="shared" si="597"/>
        <v>0.42681160322097322</v>
      </c>
      <c r="R3227" s="273">
        <f t="shared" si="597"/>
        <v>0.90941352010639265</v>
      </c>
      <c r="S3227" s="273">
        <f t="shared" si="597"/>
        <v>1.7717144244930523</v>
      </c>
      <c r="T3227" s="265"/>
    </row>
    <row r="3228" spans="1:20">
      <c r="A3228" s="285" t="s">
        <v>61</v>
      </c>
      <c r="B3228" s="273">
        <f t="shared" ref="B3228:J3228" si="598">100*B2463*B$624*B$3085*$E$14/$F$14</f>
        <v>0</v>
      </c>
      <c r="C3228" s="273">
        <f t="shared" si="598"/>
        <v>0</v>
      </c>
      <c r="D3228" s="273">
        <f t="shared" si="598"/>
        <v>0</v>
      </c>
      <c r="E3228" s="273">
        <f t="shared" si="598"/>
        <v>0</v>
      </c>
      <c r="F3228" s="273">
        <f t="shared" si="598"/>
        <v>0</v>
      </c>
      <c r="G3228" s="273">
        <f t="shared" si="598"/>
        <v>0</v>
      </c>
      <c r="H3228" s="273">
        <f t="shared" si="598"/>
        <v>3.200816283127073</v>
      </c>
      <c r="I3228" s="273">
        <f t="shared" si="598"/>
        <v>1.364004905811057</v>
      </c>
      <c r="J3228" s="273">
        <f t="shared" si="598"/>
        <v>0</v>
      </c>
      <c r="K3228" s="273">
        <f t="shared" ref="K3228:S3228" si="599">100*B2463*B$624*K$3085*$E$14/$F$14</f>
        <v>0</v>
      </c>
      <c r="L3228" s="273">
        <f t="shared" si="599"/>
        <v>0</v>
      </c>
      <c r="M3228" s="273">
        <f t="shared" si="599"/>
        <v>0</v>
      </c>
      <c r="N3228" s="273">
        <f t="shared" si="599"/>
        <v>0</v>
      </c>
      <c r="O3228" s="273">
        <f t="shared" si="599"/>
        <v>0</v>
      </c>
      <c r="P3228" s="273">
        <f t="shared" si="599"/>
        <v>0</v>
      </c>
      <c r="Q3228" s="273">
        <f t="shared" si="599"/>
        <v>2.1079348953804189</v>
      </c>
      <c r="R3228" s="273">
        <f t="shared" si="599"/>
        <v>0.89828133954011824</v>
      </c>
      <c r="S3228" s="273">
        <f t="shared" si="599"/>
        <v>0</v>
      </c>
      <c r="T3228" s="265"/>
    </row>
    <row r="3229" spans="1:20">
      <c r="A3229" s="285" t="s">
        <v>73</v>
      </c>
      <c r="B3229" s="273">
        <f t="shared" ref="B3229:J3229" si="600">100*B2464*B$625*B$3085*$E$14/$F$14</f>
        <v>0</v>
      </c>
      <c r="C3229" s="273">
        <f t="shared" si="600"/>
        <v>0</v>
      </c>
      <c r="D3229" s="273">
        <f t="shared" si="600"/>
        <v>0</v>
      </c>
      <c r="E3229" s="273">
        <f t="shared" si="600"/>
        <v>0.24245185066228511</v>
      </c>
      <c r="F3229" s="273">
        <f t="shared" si="600"/>
        <v>1.2183765563262712</v>
      </c>
      <c r="G3229" s="273">
        <f t="shared" si="600"/>
        <v>0</v>
      </c>
      <c r="H3229" s="273">
        <f t="shared" si="600"/>
        <v>3.1672519560399444</v>
      </c>
      <c r="I3229" s="273">
        <f t="shared" si="600"/>
        <v>0</v>
      </c>
      <c r="J3229" s="273">
        <f t="shared" si="600"/>
        <v>0</v>
      </c>
      <c r="K3229" s="273">
        <f t="shared" ref="K3229:S3229" si="601">100*B2464*B$625*K$3085*$E$14/$F$14</f>
        <v>0</v>
      </c>
      <c r="L3229" s="273">
        <f t="shared" si="601"/>
        <v>0</v>
      </c>
      <c r="M3229" s="273">
        <f t="shared" si="601"/>
        <v>0</v>
      </c>
      <c r="N3229" s="273">
        <f t="shared" si="601"/>
        <v>0.15966949404584221</v>
      </c>
      <c r="O3229" s="273">
        <f t="shared" si="601"/>
        <v>0.80237609147766675</v>
      </c>
      <c r="P3229" s="273">
        <f t="shared" si="601"/>
        <v>0</v>
      </c>
      <c r="Q3229" s="273">
        <f t="shared" si="601"/>
        <v>2.0858307163058862</v>
      </c>
      <c r="R3229" s="273">
        <f t="shared" si="601"/>
        <v>0</v>
      </c>
      <c r="S3229" s="273">
        <f t="shared" si="601"/>
        <v>0</v>
      </c>
      <c r="T3229" s="265"/>
    </row>
    <row r="3230" spans="1:20">
      <c r="A3230" s="285" t="s">
        <v>93</v>
      </c>
      <c r="B3230" s="273">
        <f t="shared" ref="B3230:J3230" si="602">100*B2465*B$626*B$3085*$E$14/$F$14</f>
        <v>0</v>
      </c>
      <c r="C3230" s="273">
        <f t="shared" si="602"/>
        <v>0</v>
      </c>
      <c r="D3230" s="273">
        <f t="shared" si="602"/>
        <v>0</v>
      </c>
      <c r="E3230" s="273">
        <f t="shared" si="602"/>
        <v>0</v>
      </c>
      <c r="F3230" s="273">
        <f t="shared" si="602"/>
        <v>0</v>
      </c>
      <c r="G3230" s="273">
        <f t="shared" si="602"/>
        <v>0</v>
      </c>
      <c r="H3230" s="273">
        <f t="shared" si="602"/>
        <v>0</v>
      </c>
      <c r="I3230" s="273">
        <f t="shared" si="602"/>
        <v>0</v>
      </c>
      <c r="J3230" s="273">
        <f t="shared" si="602"/>
        <v>0</v>
      </c>
      <c r="K3230" s="273">
        <f t="shared" ref="K3230:S3230" si="603">100*B2465*B$626*K$3085*$E$14/$F$14</f>
        <v>0</v>
      </c>
      <c r="L3230" s="273">
        <f t="shared" si="603"/>
        <v>0</v>
      </c>
      <c r="M3230" s="273">
        <f t="shared" si="603"/>
        <v>0</v>
      </c>
      <c r="N3230" s="273">
        <f t="shared" si="603"/>
        <v>0</v>
      </c>
      <c r="O3230" s="273">
        <f t="shared" si="603"/>
        <v>0</v>
      </c>
      <c r="P3230" s="273">
        <f t="shared" si="603"/>
        <v>0</v>
      </c>
      <c r="Q3230" s="273">
        <f t="shared" si="603"/>
        <v>0</v>
      </c>
      <c r="R3230" s="273">
        <f t="shared" si="603"/>
        <v>0</v>
      </c>
      <c r="S3230" s="273">
        <f t="shared" si="603"/>
        <v>0</v>
      </c>
      <c r="T3230" s="265"/>
    </row>
    <row r="3231" spans="1:20">
      <c r="A3231" s="285" t="s">
        <v>94</v>
      </c>
      <c r="B3231" s="273">
        <f t="shared" ref="B3231:J3231" si="604">100*B2466*B$627*B$3085*$E$14/$F$14</f>
        <v>0</v>
      </c>
      <c r="C3231" s="273">
        <f t="shared" si="604"/>
        <v>0</v>
      </c>
      <c r="D3231" s="273">
        <f t="shared" si="604"/>
        <v>0</v>
      </c>
      <c r="E3231" s="273">
        <f t="shared" si="604"/>
        <v>0</v>
      </c>
      <c r="F3231" s="273">
        <f t="shared" si="604"/>
        <v>0</v>
      </c>
      <c r="G3231" s="273">
        <f t="shared" si="604"/>
        <v>0</v>
      </c>
      <c r="H3231" s="273">
        <f t="shared" si="604"/>
        <v>0</v>
      </c>
      <c r="I3231" s="273">
        <f t="shared" si="604"/>
        <v>0</v>
      </c>
      <c r="J3231" s="273">
        <f t="shared" si="604"/>
        <v>0</v>
      </c>
      <c r="K3231" s="273">
        <f t="shared" ref="K3231:S3231" si="605">100*B2466*B$627*K$3085*$E$14/$F$14</f>
        <v>0</v>
      </c>
      <c r="L3231" s="273">
        <f t="shared" si="605"/>
        <v>0</v>
      </c>
      <c r="M3231" s="273">
        <f t="shared" si="605"/>
        <v>0</v>
      </c>
      <c r="N3231" s="273">
        <f t="shared" si="605"/>
        <v>0</v>
      </c>
      <c r="O3231" s="273">
        <f t="shared" si="605"/>
        <v>0</v>
      </c>
      <c r="P3231" s="273">
        <f t="shared" si="605"/>
        <v>0</v>
      </c>
      <c r="Q3231" s="273">
        <f t="shared" si="605"/>
        <v>0</v>
      </c>
      <c r="R3231" s="273">
        <f t="shared" si="605"/>
        <v>0</v>
      </c>
      <c r="S3231" s="273">
        <f t="shared" si="605"/>
        <v>0</v>
      </c>
      <c r="T3231" s="265"/>
    </row>
    <row r="3232" spans="1:20">
      <c r="A3232" s="285" t="s">
        <v>95</v>
      </c>
      <c r="B3232" s="273">
        <f t="shared" ref="B3232:J3232" si="606">100*B2467*B$628*B$3085*$E$14/$F$14</f>
        <v>0</v>
      </c>
      <c r="C3232" s="273">
        <f t="shared" si="606"/>
        <v>0</v>
      </c>
      <c r="D3232" s="273">
        <f t="shared" si="606"/>
        <v>0</v>
      </c>
      <c r="E3232" s="273">
        <f t="shared" si="606"/>
        <v>0</v>
      </c>
      <c r="F3232" s="273">
        <f t="shared" si="606"/>
        <v>0</v>
      </c>
      <c r="G3232" s="273">
        <f t="shared" si="606"/>
        <v>0</v>
      </c>
      <c r="H3232" s="273">
        <f t="shared" si="606"/>
        <v>0</v>
      </c>
      <c r="I3232" s="273">
        <f t="shared" si="606"/>
        <v>0</v>
      </c>
      <c r="J3232" s="273">
        <f t="shared" si="606"/>
        <v>0</v>
      </c>
      <c r="K3232" s="273">
        <f t="shared" ref="K3232:S3232" si="607">100*B2467*B$628*K$3085*$E$14/$F$14</f>
        <v>0</v>
      </c>
      <c r="L3232" s="273">
        <f t="shared" si="607"/>
        <v>0</v>
      </c>
      <c r="M3232" s="273">
        <f t="shared" si="607"/>
        <v>0</v>
      </c>
      <c r="N3232" s="273">
        <f t="shared" si="607"/>
        <v>0</v>
      </c>
      <c r="O3232" s="273">
        <f t="shared" si="607"/>
        <v>0</v>
      </c>
      <c r="P3232" s="273">
        <f t="shared" si="607"/>
        <v>0</v>
      </c>
      <c r="Q3232" s="273">
        <f t="shared" si="607"/>
        <v>0</v>
      </c>
      <c r="R3232" s="273">
        <f t="shared" si="607"/>
        <v>0</v>
      </c>
      <c r="S3232" s="273">
        <f t="shared" si="607"/>
        <v>0</v>
      </c>
      <c r="T3232" s="265"/>
    </row>
    <row r="3233" spans="1:20">
      <c r="A3233" s="285" t="s">
        <v>96</v>
      </c>
      <c r="B3233" s="273">
        <f t="shared" ref="B3233:J3233" si="608">100*B2468*B$629*B$3085*$E$14/$F$14</f>
        <v>0</v>
      </c>
      <c r="C3233" s="273">
        <f t="shared" si="608"/>
        <v>0</v>
      </c>
      <c r="D3233" s="273">
        <f t="shared" si="608"/>
        <v>0</v>
      </c>
      <c r="E3233" s="273">
        <f t="shared" si="608"/>
        <v>0</v>
      </c>
      <c r="F3233" s="273">
        <f t="shared" si="608"/>
        <v>0</v>
      </c>
      <c r="G3233" s="273">
        <f t="shared" si="608"/>
        <v>0</v>
      </c>
      <c r="H3233" s="273">
        <f t="shared" si="608"/>
        <v>0</v>
      </c>
      <c r="I3233" s="273">
        <f t="shared" si="608"/>
        <v>0</v>
      </c>
      <c r="J3233" s="273">
        <f t="shared" si="608"/>
        <v>0</v>
      </c>
      <c r="K3233" s="273">
        <f t="shared" ref="K3233:S3233" si="609">100*B2468*B$629*K$3085*$E$14/$F$14</f>
        <v>0</v>
      </c>
      <c r="L3233" s="273">
        <f t="shared" si="609"/>
        <v>0</v>
      </c>
      <c r="M3233" s="273">
        <f t="shared" si="609"/>
        <v>0</v>
      </c>
      <c r="N3233" s="273">
        <f t="shared" si="609"/>
        <v>0</v>
      </c>
      <c r="O3233" s="273">
        <f t="shared" si="609"/>
        <v>0</v>
      </c>
      <c r="P3233" s="273">
        <f t="shared" si="609"/>
        <v>0</v>
      </c>
      <c r="Q3233" s="273">
        <f t="shared" si="609"/>
        <v>0</v>
      </c>
      <c r="R3233" s="273">
        <f t="shared" si="609"/>
        <v>0</v>
      </c>
      <c r="S3233" s="273">
        <f t="shared" si="609"/>
        <v>0</v>
      </c>
      <c r="T3233" s="265"/>
    </row>
    <row r="3234" spans="1:20">
      <c r="A3234" s="285" t="s">
        <v>97</v>
      </c>
      <c r="B3234" s="273">
        <f t="shared" ref="B3234:J3234" si="610">100*B2469*B$630*B$3085*$E$14/$F$14</f>
        <v>0</v>
      </c>
      <c r="C3234" s="273">
        <f t="shared" si="610"/>
        <v>0</v>
      </c>
      <c r="D3234" s="273">
        <f t="shared" si="610"/>
        <v>0</v>
      </c>
      <c r="E3234" s="273">
        <f t="shared" si="610"/>
        <v>0</v>
      </c>
      <c r="F3234" s="273">
        <f t="shared" si="610"/>
        <v>0</v>
      </c>
      <c r="G3234" s="273">
        <f t="shared" si="610"/>
        <v>0</v>
      </c>
      <c r="H3234" s="273">
        <f t="shared" si="610"/>
        <v>0</v>
      </c>
      <c r="I3234" s="273">
        <f t="shared" si="610"/>
        <v>0</v>
      </c>
      <c r="J3234" s="273">
        <f t="shared" si="610"/>
        <v>0</v>
      </c>
      <c r="K3234" s="273">
        <f t="shared" ref="K3234:S3234" si="611">100*B2469*B$630*K$3085*$E$14/$F$14</f>
        <v>0</v>
      </c>
      <c r="L3234" s="273">
        <f t="shared" si="611"/>
        <v>0</v>
      </c>
      <c r="M3234" s="273">
        <f t="shared" si="611"/>
        <v>0</v>
      </c>
      <c r="N3234" s="273">
        <f t="shared" si="611"/>
        <v>0</v>
      </c>
      <c r="O3234" s="273">
        <f t="shared" si="611"/>
        <v>0</v>
      </c>
      <c r="P3234" s="273">
        <f t="shared" si="611"/>
        <v>0</v>
      </c>
      <c r="Q3234" s="273">
        <f t="shared" si="611"/>
        <v>0</v>
      </c>
      <c r="R3234" s="273">
        <f t="shared" si="611"/>
        <v>0</v>
      </c>
      <c r="S3234" s="273">
        <f t="shared" si="611"/>
        <v>0</v>
      </c>
      <c r="T3234" s="265"/>
    </row>
    <row r="3236" spans="1:20" ht="21" customHeight="1">
      <c r="A3236" s="1" t="str">
        <f>"Standing charges as fixed charges for "&amp;CDCM!B7&amp;" in "&amp;CDCM!C7&amp;" ("&amp;CDCM!D7&amp;")"</f>
        <v>Standing charges as fixed charges for 0 in 0 (0)</v>
      </c>
    </row>
    <row r="3237" spans="1:20">
      <c r="A3237" s="264" t="s">
        <v>678</v>
      </c>
    </row>
    <row r="3239" spans="1:20" ht="21" customHeight="1">
      <c r="A3239" s="1" t="s">
        <v>1211</v>
      </c>
    </row>
    <row r="3241" spans="1:20" ht="30">
      <c r="B3241" s="284" t="s">
        <v>1200</v>
      </c>
      <c r="C3241" s="284" t="s">
        <v>1199</v>
      </c>
      <c r="D3241" s="284" t="s">
        <v>1198</v>
      </c>
      <c r="E3241" s="284" t="s">
        <v>1197</v>
      </c>
    </row>
    <row r="3242" spans="1:20">
      <c r="A3242" s="285" t="s">
        <v>54</v>
      </c>
      <c r="B3242" s="272">
        <v>1</v>
      </c>
      <c r="C3242" s="272">
        <v>0</v>
      </c>
      <c r="D3242" s="272">
        <v>0</v>
      </c>
      <c r="E3242" s="272">
        <v>0</v>
      </c>
      <c r="F3242" s="265"/>
    </row>
    <row r="3243" spans="1:20">
      <c r="A3243" s="285" t="s">
        <v>55</v>
      </c>
      <c r="B3243" s="272">
        <v>1</v>
      </c>
      <c r="C3243" s="272">
        <v>0</v>
      </c>
      <c r="D3243" s="272">
        <v>0</v>
      </c>
      <c r="E3243" s="272">
        <v>0</v>
      </c>
      <c r="F3243" s="265"/>
    </row>
    <row r="3244" spans="1:20">
      <c r="A3244" s="285" t="s">
        <v>56</v>
      </c>
      <c r="B3244" s="272">
        <v>1</v>
      </c>
      <c r="C3244" s="272">
        <v>0</v>
      </c>
      <c r="D3244" s="272">
        <v>0</v>
      </c>
      <c r="E3244" s="272">
        <v>0</v>
      </c>
      <c r="F3244" s="265"/>
    </row>
    <row r="3245" spans="1:20">
      <c r="A3245" s="285" t="s">
        <v>57</v>
      </c>
      <c r="B3245" s="272">
        <v>1</v>
      </c>
      <c r="C3245" s="272">
        <v>0</v>
      </c>
      <c r="D3245" s="272">
        <v>0</v>
      </c>
      <c r="E3245" s="272">
        <v>0</v>
      </c>
      <c r="F3245" s="265"/>
    </row>
    <row r="3246" spans="1:20">
      <c r="A3246" s="285" t="s">
        <v>58</v>
      </c>
      <c r="B3246" s="272">
        <v>0</v>
      </c>
      <c r="C3246" s="272">
        <v>1</v>
      </c>
      <c r="D3246" s="272">
        <v>0</v>
      </c>
      <c r="E3246" s="272">
        <v>0</v>
      </c>
      <c r="F3246" s="265"/>
    </row>
    <row r="3247" spans="1:20">
      <c r="A3247" s="285" t="s">
        <v>59</v>
      </c>
      <c r="B3247" s="272">
        <v>0</v>
      </c>
      <c r="C3247" s="272">
        <v>0</v>
      </c>
      <c r="D3247" s="272">
        <v>1</v>
      </c>
      <c r="E3247" s="272">
        <v>0</v>
      </c>
      <c r="F3247" s="265"/>
    </row>
    <row r="3248" spans="1:20">
      <c r="A3248" s="285" t="s">
        <v>72</v>
      </c>
      <c r="B3248" s="272">
        <v>0</v>
      </c>
      <c r="C3248" s="272">
        <v>0</v>
      </c>
      <c r="D3248" s="272">
        <v>0</v>
      </c>
      <c r="E3248" s="272">
        <v>1</v>
      </c>
      <c r="F3248" s="265"/>
    </row>
    <row r="3249" spans="1:6">
      <c r="A3249" s="285" t="s">
        <v>1178</v>
      </c>
      <c r="B3249" s="272">
        <v>1</v>
      </c>
      <c r="C3249" s="272">
        <v>0</v>
      </c>
      <c r="D3249" s="272">
        <v>0</v>
      </c>
      <c r="E3249" s="272">
        <v>0</v>
      </c>
      <c r="F3249" s="265"/>
    </row>
    <row r="3250" spans="1:6">
      <c r="A3250" s="285" t="s">
        <v>1177</v>
      </c>
      <c r="B3250" s="272">
        <v>1</v>
      </c>
      <c r="C3250" s="272">
        <v>0</v>
      </c>
      <c r="D3250" s="272">
        <v>0</v>
      </c>
      <c r="E3250" s="272">
        <v>0</v>
      </c>
      <c r="F3250" s="265"/>
    </row>
    <row r="3252" spans="1:6" ht="21" customHeight="1">
      <c r="A3252" s="1" t="s">
        <v>1210</v>
      </c>
    </row>
    <row r="3253" spans="1:6">
      <c r="A3253" s="264" t="s">
        <v>217</v>
      </c>
    </row>
    <row r="3254" spans="1:6">
      <c r="A3254" s="269" t="s">
        <v>429</v>
      </c>
    </row>
    <row r="3255" spans="1:6">
      <c r="A3255" s="269" t="s">
        <v>357</v>
      </c>
    </row>
    <row r="3256" spans="1:6">
      <c r="A3256" s="269" t="s">
        <v>267</v>
      </c>
    </row>
    <row r="3257" spans="1:6">
      <c r="A3257" s="269" t="s">
        <v>1209</v>
      </c>
    </row>
    <row r="3258" spans="1:6">
      <c r="A3258" s="270" t="s">
        <v>220</v>
      </c>
      <c r="B3258" s="270" t="s">
        <v>342</v>
      </c>
      <c r="C3258" s="270" t="s">
        <v>276</v>
      </c>
    </row>
    <row r="3259" spans="1:6">
      <c r="A3259" s="270" t="s">
        <v>223</v>
      </c>
      <c r="B3259" s="270" t="s">
        <v>1208</v>
      </c>
      <c r="C3259" s="270" t="s">
        <v>924</v>
      </c>
    </row>
    <row r="3261" spans="1:6" ht="30">
      <c r="B3261" s="284" t="s">
        <v>1207</v>
      </c>
      <c r="C3261" s="284" t="s">
        <v>105</v>
      </c>
    </row>
    <row r="3262" spans="1:6">
      <c r="A3262" s="285" t="s">
        <v>54</v>
      </c>
      <c r="B3262" s="275">
        <f>B$1429/C$122/(24*F$14)*1000</f>
        <v>1182871.8941256024</v>
      </c>
      <c r="C3262" s="276">
        <f>E$1268</f>
        <v>1257589.1003387033</v>
      </c>
      <c r="D3262" s="265"/>
    </row>
    <row r="3263" spans="1:6">
      <c r="A3263" s="285" t="s">
        <v>55</v>
      </c>
      <c r="B3263" s="275">
        <f>B$1430/C$123/(24*F$14)*1000</f>
        <v>563841.85887577839</v>
      </c>
      <c r="C3263" s="276">
        <f>E$1269</f>
        <v>209444.29065695568</v>
      </c>
      <c r="D3263" s="265"/>
    </row>
    <row r="3264" spans="1:6">
      <c r="A3264" s="285" t="s">
        <v>56</v>
      </c>
      <c r="B3264" s="275">
        <f>B$1432/C$125/(24*F$14)*1000</f>
        <v>344679.1575043652</v>
      </c>
      <c r="C3264" s="276">
        <f>E$1271</f>
        <v>110349.61761711458</v>
      </c>
      <c r="D3264" s="265"/>
    </row>
    <row r="3265" spans="1:6">
      <c r="A3265" s="285" t="s">
        <v>57</v>
      </c>
      <c r="B3265" s="275">
        <f>B$1433/C$126/(24*F$14)*1000</f>
        <v>153963.13653224782</v>
      </c>
      <c r="C3265" s="276">
        <f>E$1272</f>
        <v>29453.97677008979</v>
      </c>
      <c r="D3265" s="265"/>
    </row>
    <row r="3266" spans="1:6">
      <c r="A3266" s="285" t="s">
        <v>58</v>
      </c>
      <c r="B3266" s="275">
        <f>B$1435/C$128/(24*F$14)*1000</f>
        <v>1.9230957066198646E-4</v>
      </c>
      <c r="C3266" s="276">
        <f>E$1274</f>
        <v>1.1375306250331345E-5</v>
      </c>
      <c r="D3266" s="265"/>
    </row>
    <row r="3267" spans="1:6">
      <c r="A3267" s="285" t="s">
        <v>59</v>
      </c>
      <c r="B3267" s="275">
        <f>B$1436/C$129/(24*F$14)*1000</f>
        <v>1.9023019969575559E-4</v>
      </c>
      <c r="C3267" s="276">
        <f>E$1275</f>
        <v>8.3651490727006342E-6</v>
      </c>
      <c r="D3267" s="265"/>
    </row>
    <row r="3268" spans="1:6">
      <c r="A3268" s="285" t="s">
        <v>72</v>
      </c>
      <c r="B3268" s="275">
        <f>B$1437/C$130/(24*F$14)*1000</f>
        <v>2.5094116952562251E-4</v>
      </c>
      <c r="C3268" s="276">
        <f>E$1276</f>
        <v>8.8911149421647205E-6</v>
      </c>
      <c r="D3268" s="265"/>
    </row>
    <row r="3269" spans="1:6">
      <c r="A3269" s="285" t="s">
        <v>1178</v>
      </c>
      <c r="B3269" s="275">
        <f>B$1438/C$131/(24*F$14)*1000</f>
        <v>3.8325764319868103E-2</v>
      </c>
      <c r="C3269" s="276">
        <f>E$1277</f>
        <v>8.4931506849315067E-2</v>
      </c>
      <c r="D3269" s="265"/>
    </row>
    <row r="3270" spans="1:6">
      <c r="A3270" s="285" t="s">
        <v>1177</v>
      </c>
      <c r="B3270" s="275">
        <f>B$1439/C$132/(24*F$14)*1000</f>
        <v>120262.55521849646</v>
      </c>
      <c r="C3270" s="276">
        <f>E$1278</f>
        <v>6149.2813810656571</v>
      </c>
      <c r="D3270" s="265"/>
    </row>
    <row r="3272" spans="1:6" ht="21" customHeight="1">
      <c r="A3272" s="1" t="s">
        <v>1371</v>
      </c>
    </row>
    <row r="3273" spans="1:6">
      <c r="A3273" s="264" t="s">
        <v>217</v>
      </c>
    </row>
    <row r="3274" spans="1:6">
      <c r="A3274" s="269" t="s">
        <v>1194</v>
      </c>
    </row>
    <row r="3275" spans="1:6">
      <c r="A3275" s="269" t="s">
        <v>1204</v>
      </c>
    </row>
    <row r="3276" spans="1:6">
      <c r="A3276" s="264" t="s">
        <v>230</v>
      </c>
    </row>
    <row r="3278" spans="1:6" ht="30">
      <c r="B3278" s="284" t="s">
        <v>1200</v>
      </c>
      <c r="C3278" s="284" t="s">
        <v>1199</v>
      </c>
      <c r="D3278" s="284" t="s">
        <v>1198</v>
      </c>
      <c r="E3278" s="284" t="s">
        <v>1197</v>
      </c>
    </row>
    <row r="3279" spans="1:6">
      <c r="A3279" s="285" t="s">
        <v>1203</v>
      </c>
      <c r="B3279" s="275">
        <f>SUMPRODUCT(B$3242:B$3250,$B$3262:$B$3270)</f>
        <v>2365618.6405822546</v>
      </c>
      <c r="C3279" s="275">
        <f>SUMPRODUCT(C$3242:C$3250,$B$3262:$B$3270)</f>
        <v>1.9230957066198646E-4</v>
      </c>
      <c r="D3279" s="275">
        <f>SUMPRODUCT(D$3242:D$3250,$B$3262:$B$3270)</f>
        <v>1.9023019969575559E-4</v>
      </c>
      <c r="E3279" s="275">
        <f>SUMPRODUCT(E$3242:E$3250,$B$3262:$B$3270)</f>
        <v>2.5094116952562251E-4</v>
      </c>
      <c r="F3279" s="265"/>
    </row>
    <row r="3281" spans="1:6" ht="21" customHeight="1">
      <c r="A3281" s="1" t="s">
        <v>1372</v>
      </c>
    </row>
    <row r="3282" spans="1:6">
      <c r="A3282" s="264" t="s">
        <v>217</v>
      </c>
    </row>
    <row r="3283" spans="1:6">
      <c r="A3283" s="269" t="s">
        <v>1194</v>
      </c>
    </row>
    <row r="3284" spans="1:6">
      <c r="A3284" s="269" t="s">
        <v>1206</v>
      </c>
    </row>
    <row r="3285" spans="1:6">
      <c r="A3285" s="264" t="s">
        <v>230</v>
      </c>
    </row>
    <row r="3287" spans="1:6" ht="30">
      <c r="B3287" s="284" t="s">
        <v>1200</v>
      </c>
      <c r="C3287" s="284" t="s">
        <v>1199</v>
      </c>
      <c r="D3287" s="284" t="s">
        <v>1198</v>
      </c>
      <c r="E3287" s="284" t="s">
        <v>1197</v>
      </c>
    </row>
    <row r="3288" spans="1:6" ht="30">
      <c r="A3288" s="285" t="s">
        <v>1205</v>
      </c>
      <c r="B3288" s="275">
        <f>SUMPRODUCT(B$3242:B$3250,$C$3262:$C$3270)</f>
        <v>1612986.3516954358</v>
      </c>
      <c r="C3288" s="275">
        <f>SUMPRODUCT(C$3242:C$3250,$C$3262:$C$3270)</f>
        <v>1.1375306250331345E-5</v>
      </c>
      <c r="D3288" s="275">
        <f>SUMPRODUCT(D$3242:D$3250,$C$3262:$C$3270)</f>
        <v>8.3651490727006342E-6</v>
      </c>
      <c r="E3288" s="275">
        <f>SUMPRODUCT(E$3242:E$3250,$C$3262:$C$3270)</f>
        <v>8.8911149421647205E-6</v>
      </c>
      <c r="F3288" s="265"/>
    </row>
    <row r="3290" spans="1:6" ht="21" customHeight="1">
      <c r="A3290" s="1" t="s">
        <v>1202</v>
      </c>
    </row>
    <row r="3291" spans="1:6">
      <c r="A3291" s="264" t="s">
        <v>217</v>
      </c>
    </row>
    <row r="3292" spans="1:6">
      <c r="A3292" s="269" t="s">
        <v>1373</v>
      </c>
    </row>
    <row r="3293" spans="1:6">
      <c r="A3293" s="269" t="s">
        <v>1374</v>
      </c>
    </row>
    <row r="3294" spans="1:6">
      <c r="A3294" s="269" t="s">
        <v>679</v>
      </c>
    </row>
    <row r="3295" spans="1:6">
      <c r="A3295" s="264" t="s">
        <v>1201</v>
      </c>
    </row>
    <row r="3297" spans="1:6" ht="30">
      <c r="B3297" s="284" t="s">
        <v>1200</v>
      </c>
      <c r="C3297" s="284" t="s">
        <v>1199</v>
      </c>
      <c r="D3297" s="284" t="s">
        <v>1198</v>
      </c>
      <c r="E3297" s="284" t="s">
        <v>1197</v>
      </c>
    </row>
    <row r="3298" spans="1:6">
      <c r="A3298" s="285" t="s">
        <v>1196</v>
      </c>
      <c r="B3298" s="273">
        <f>IF(B3288,B3279/B3288/$E14,0)</f>
        <v>1.5437978642571997</v>
      </c>
      <c r="C3298" s="273">
        <f>IF(C3288,C3279/C3288/$E14,0)</f>
        <v>17.795663919529272</v>
      </c>
      <c r="D3298" s="273">
        <f>IF(D3288,D3279/D3288/$E14,0)</f>
        <v>23.937686433192219</v>
      </c>
      <c r="E3298" s="273">
        <f>IF(E3288,E3279/E3288/$E14,0)</f>
        <v>29.709277319987386</v>
      </c>
      <c r="F3298" s="265"/>
    </row>
    <row r="3300" spans="1:6" ht="21" customHeight="1">
      <c r="A3300" s="1" t="s">
        <v>1195</v>
      </c>
    </row>
    <row r="3301" spans="1:6">
      <c r="A3301" s="264" t="s">
        <v>217</v>
      </c>
    </row>
    <row r="3302" spans="1:6">
      <c r="A3302" s="269" t="s">
        <v>1194</v>
      </c>
    </row>
    <row r="3303" spans="1:6">
      <c r="A3303" s="269" t="s">
        <v>1193</v>
      </c>
    </row>
    <row r="3304" spans="1:6">
      <c r="A3304" s="264" t="s">
        <v>230</v>
      </c>
    </row>
    <row r="3306" spans="1:6" ht="30">
      <c r="B3306" s="284" t="s">
        <v>1192</v>
      </c>
    </row>
    <row r="3307" spans="1:6">
      <c r="A3307" s="285" t="s">
        <v>54</v>
      </c>
      <c r="B3307" s="273">
        <f t="shared" ref="B3307:B3315" si="612">SUMPRODUCT($B3242:$E3242,$B$3298:$E$3298)</f>
        <v>1.5437978642571997</v>
      </c>
      <c r="C3307" s="265"/>
    </row>
    <row r="3308" spans="1:6">
      <c r="A3308" s="285" t="s">
        <v>55</v>
      </c>
      <c r="B3308" s="273">
        <f t="shared" si="612"/>
        <v>1.5437978642571997</v>
      </c>
      <c r="C3308" s="265"/>
    </row>
    <row r="3309" spans="1:6">
      <c r="A3309" s="285" t="s">
        <v>56</v>
      </c>
      <c r="B3309" s="273">
        <f t="shared" si="612"/>
        <v>1.5437978642571997</v>
      </c>
      <c r="C3309" s="265"/>
    </row>
    <row r="3310" spans="1:6">
      <c r="A3310" s="285" t="s">
        <v>57</v>
      </c>
      <c r="B3310" s="273">
        <f t="shared" si="612"/>
        <v>1.5437978642571997</v>
      </c>
      <c r="C3310" s="265"/>
    </row>
    <row r="3311" spans="1:6">
      <c r="A3311" s="285" t="s">
        <v>58</v>
      </c>
      <c r="B3311" s="273">
        <f t="shared" si="612"/>
        <v>17.795663919529272</v>
      </c>
      <c r="C3311" s="265"/>
    </row>
    <row r="3312" spans="1:6">
      <c r="A3312" s="285" t="s">
        <v>59</v>
      </c>
      <c r="B3312" s="273">
        <f t="shared" si="612"/>
        <v>23.937686433192219</v>
      </c>
      <c r="C3312" s="265"/>
    </row>
    <row r="3313" spans="1:20">
      <c r="A3313" s="285" t="s">
        <v>72</v>
      </c>
      <c r="B3313" s="273">
        <f t="shared" si="612"/>
        <v>29.709277319987386</v>
      </c>
      <c r="C3313" s="265"/>
    </row>
    <row r="3314" spans="1:20">
      <c r="A3314" s="285" t="s">
        <v>1178</v>
      </c>
      <c r="B3314" s="273">
        <f t="shared" si="612"/>
        <v>1.5437978642571997</v>
      </c>
      <c r="C3314" s="265"/>
    </row>
    <row r="3315" spans="1:20">
      <c r="A3315" s="285" t="s">
        <v>1177</v>
      </c>
      <c r="B3315" s="273">
        <f t="shared" si="612"/>
        <v>1.5437978642571997</v>
      </c>
      <c r="C3315" s="265"/>
    </row>
    <row r="3317" spans="1:20" ht="21" customHeight="1">
      <c r="A3317" s="1" t="s">
        <v>1191</v>
      </c>
    </row>
    <row r="3318" spans="1:20">
      <c r="A3318" s="264" t="s">
        <v>217</v>
      </c>
    </row>
    <row r="3319" spans="1:20">
      <c r="A3319" s="269" t="s">
        <v>680</v>
      </c>
    </row>
    <row r="3320" spans="1:20">
      <c r="A3320" s="269" t="s">
        <v>1190</v>
      </c>
    </row>
    <row r="3321" spans="1:20">
      <c r="A3321" s="264" t="s">
        <v>540</v>
      </c>
    </row>
    <row r="3323" spans="1:20" ht="30">
      <c r="B3323" s="284" t="s">
        <v>22</v>
      </c>
      <c r="C3323" s="284" t="s">
        <v>182</v>
      </c>
      <c r="D3323" s="284" t="s">
        <v>183</v>
      </c>
      <c r="E3323" s="284" t="s">
        <v>184</v>
      </c>
      <c r="F3323" s="284" t="s">
        <v>185</v>
      </c>
      <c r="G3323" s="284" t="s">
        <v>186</v>
      </c>
      <c r="H3323" s="284" t="s">
        <v>187</v>
      </c>
      <c r="I3323" s="284" t="s">
        <v>188</v>
      </c>
      <c r="J3323" s="284" t="s">
        <v>189</v>
      </c>
      <c r="K3323" s="284" t="s">
        <v>170</v>
      </c>
      <c r="L3323" s="284" t="s">
        <v>567</v>
      </c>
      <c r="M3323" s="284" t="s">
        <v>568</v>
      </c>
      <c r="N3323" s="284" t="s">
        <v>569</v>
      </c>
      <c r="O3323" s="284" t="s">
        <v>570</v>
      </c>
      <c r="P3323" s="284" t="s">
        <v>571</v>
      </c>
      <c r="Q3323" s="284" t="s">
        <v>572</v>
      </c>
      <c r="R3323" s="284" t="s">
        <v>573</v>
      </c>
      <c r="S3323" s="284" t="s">
        <v>574</v>
      </c>
    </row>
    <row r="3324" spans="1:20">
      <c r="A3324" s="285" t="s">
        <v>54</v>
      </c>
      <c r="B3324" s="273">
        <f t="shared" ref="B3324:S3324" si="613">B$3099*$B3307</f>
        <v>0</v>
      </c>
      <c r="C3324" s="273">
        <f t="shared" si="613"/>
        <v>0</v>
      </c>
      <c r="D3324" s="273">
        <f t="shared" si="613"/>
        <v>0</v>
      </c>
      <c r="E3324" s="273">
        <f t="shared" si="613"/>
        <v>0</v>
      </c>
      <c r="F3324" s="273">
        <f t="shared" si="613"/>
        <v>0</v>
      </c>
      <c r="G3324" s="273">
        <f t="shared" si="613"/>
        <v>0</v>
      </c>
      <c r="H3324" s="273">
        <f t="shared" si="613"/>
        <v>0</v>
      </c>
      <c r="I3324" s="273">
        <f t="shared" si="613"/>
        <v>0</v>
      </c>
      <c r="J3324" s="273">
        <f t="shared" si="613"/>
        <v>0.20766232662557069</v>
      </c>
      <c r="K3324" s="273">
        <f t="shared" si="613"/>
        <v>0</v>
      </c>
      <c r="L3324" s="273">
        <f t="shared" si="613"/>
        <v>0</v>
      </c>
      <c r="M3324" s="273">
        <f t="shared" si="613"/>
        <v>0</v>
      </c>
      <c r="N3324" s="273">
        <f t="shared" si="613"/>
        <v>0</v>
      </c>
      <c r="O3324" s="273">
        <f t="shared" si="613"/>
        <v>0</v>
      </c>
      <c r="P3324" s="273">
        <f t="shared" si="613"/>
        <v>0</v>
      </c>
      <c r="Q3324" s="273">
        <f t="shared" si="613"/>
        <v>0</v>
      </c>
      <c r="R3324" s="273">
        <f t="shared" si="613"/>
        <v>0</v>
      </c>
      <c r="S3324" s="273">
        <f t="shared" si="613"/>
        <v>2.7351689446060479</v>
      </c>
      <c r="T3324" s="265"/>
    </row>
    <row r="3325" spans="1:20">
      <c r="A3325" s="285" t="s">
        <v>55</v>
      </c>
      <c r="B3325" s="273">
        <f t="shared" ref="B3325:S3325" si="614">B$3100*$B3308</f>
        <v>0</v>
      </c>
      <c r="C3325" s="273">
        <f t="shared" si="614"/>
        <v>0</v>
      </c>
      <c r="D3325" s="273">
        <f t="shared" si="614"/>
        <v>0</v>
      </c>
      <c r="E3325" s="273">
        <f t="shared" si="614"/>
        <v>0</v>
      </c>
      <c r="F3325" s="273">
        <f t="shared" si="614"/>
        <v>0</v>
      </c>
      <c r="G3325" s="273">
        <f t="shared" si="614"/>
        <v>0</v>
      </c>
      <c r="H3325" s="273">
        <f t="shared" si="614"/>
        <v>0</v>
      </c>
      <c r="I3325" s="273">
        <f t="shared" si="614"/>
        <v>0</v>
      </c>
      <c r="J3325" s="273">
        <f t="shared" si="614"/>
        <v>0.20766232662557069</v>
      </c>
      <c r="K3325" s="273">
        <f t="shared" si="614"/>
        <v>0</v>
      </c>
      <c r="L3325" s="273">
        <f t="shared" si="614"/>
        <v>0</v>
      </c>
      <c r="M3325" s="273">
        <f t="shared" si="614"/>
        <v>0</v>
      </c>
      <c r="N3325" s="273">
        <f t="shared" si="614"/>
        <v>0</v>
      </c>
      <c r="O3325" s="273">
        <f t="shared" si="614"/>
        <v>0</v>
      </c>
      <c r="P3325" s="273">
        <f t="shared" si="614"/>
        <v>0</v>
      </c>
      <c r="Q3325" s="273">
        <f t="shared" si="614"/>
        <v>0</v>
      </c>
      <c r="R3325" s="273">
        <f t="shared" si="614"/>
        <v>0</v>
      </c>
      <c r="S3325" s="273">
        <f t="shared" si="614"/>
        <v>2.7351689446060479</v>
      </c>
      <c r="T3325" s="265"/>
    </row>
    <row r="3326" spans="1:20">
      <c r="A3326" s="285" t="s">
        <v>56</v>
      </c>
      <c r="B3326" s="273">
        <f t="shared" ref="B3326:S3326" si="615">B$3102*$B3309</f>
        <v>0</v>
      </c>
      <c r="C3326" s="273">
        <f t="shared" si="615"/>
        <v>0</v>
      </c>
      <c r="D3326" s="273">
        <f t="shared" si="615"/>
        <v>0</v>
      </c>
      <c r="E3326" s="273">
        <f t="shared" si="615"/>
        <v>0</v>
      </c>
      <c r="F3326" s="273">
        <f t="shared" si="615"/>
        <v>0</v>
      </c>
      <c r="G3326" s="273">
        <f t="shared" si="615"/>
        <v>0</v>
      </c>
      <c r="H3326" s="273">
        <f t="shared" si="615"/>
        <v>0</v>
      </c>
      <c r="I3326" s="273">
        <f t="shared" si="615"/>
        <v>0</v>
      </c>
      <c r="J3326" s="273">
        <f t="shared" si="615"/>
        <v>0.20766232662557069</v>
      </c>
      <c r="K3326" s="273">
        <f t="shared" si="615"/>
        <v>0</v>
      </c>
      <c r="L3326" s="273">
        <f t="shared" si="615"/>
        <v>0</v>
      </c>
      <c r="M3326" s="273">
        <f t="shared" si="615"/>
        <v>0</v>
      </c>
      <c r="N3326" s="273">
        <f t="shared" si="615"/>
        <v>0</v>
      </c>
      <c r="O3326" s="273">
        <f t="shared" si="615"/>
        <v>0</v>
      </c>
      <c r="P3326" s="273">
        <f t="shared" si="615"/>
        <v>0</v>
      </c>
      <c r="Q3326" s="273">
        <f t="shared" si="615"/>
        <v>0</v>
      </c>
      <c r="R3326" s="273">
        <f t="shared" si="615"/>
        <v>0</v>
      </c>
      <c r="S3326" s="273">
        <f t="shared" si="615"/>
        <v>2.7351689446060479</v>
      </c>
      <c r="T3326" s="265"/>
    </row>
    <row r="3327" spans="1:20">
      <c r="A3327" s="285" t="s">
        <v>57</v>
      </c>
      <c r="B3327" s="273">
        <f t="shared" ref="B3327:S3327" si="616">B$3103*$B3310</f>
        <v>0</v>
      </c>
      <c r="C3327" s="273">
        <f t="shared" si="616"/>
        <v>0</v>
      </c>
      <c r="D3327" s="273">
        <f t="shared" si="616"/>
        <v>0</v>
      </c>
      <c r="E3327" s="273">
        <f t="shared" si="616"/>
        <v>0</v>
      </c>
      <c r="F3327" s="273">
        <f t="shared" si="616"/>
        <v>0</v>
      </c>
      <c r="G3327" s="273">
        <f t="shared" si="616"/>
        <v>0</v>
      </c>
      <c r="H3327" s="273">
        <f t="shared" si="616"/>
        <v>0</v>
      </c>
      <c r="I3327" s="273">
        <f t="shared" si="616"/>
        <v>0</v>
      </c>
      <c r="J3327" s="273">
        <f t="shared" si="616"/>
        <v>0.20766232662557069</v>
      </c>
      <c r="K3327" s="273">
        <f t="shared" si="616"/>
        <v>0</v>
      </c>
      <c r="L3327" s="273">
        <f t="shared" si="616"/>
        <v>0</v>
      </c>
      <c r="M3327" s="273">
        <f t="shared" si="616"/>
        <v>0</v>
      </c>
      <c r="N3327" s="273">
        <f t="shared" si="616"/>
        <v>0</v>
      </c>
      <c r="O3327" s="273">
        <f t="shared" si="616"/>
        <v>0</v>
      </c>
      <c r="P3327" s="273">
        <f t="shared" si="616"/>
        <v>0</v>
      </c>
      <c r="Q3327" s="273">
        <f t="shared" si="616"/>
        <v>0</v>
      </c>
      <c r="R3327" s="273">
        <f t="shared" si="616"/>
        <v>0</v>
      </c>
      <c r="S3327" s="273">
        <f t="shared" si="616"/>
        <v>2.7351689446060479</v>
      </c>
      <c r="T3327" s="265"/>
    </row>
    <row r="3328" spans="1:20">
      <c r="A3328" s="285" t="s">
        <v>58</v>
      </c>
      <c r="B3328" s="273">
        <f t="shared" ref="B3328:S3328" si="617">B$3105*$B3311</f>
        <v>0</v>
      </c>
      <c r="C3328" s="273">
        <f t="shared" si="617"/>
        <v>0</v>
      </c>
      <c r="D3328" s="273">
        <f t="shared" si="617"/>
        <v>0</v>
      </c>
      <c r="E3328" s="273">
        <f t="shared" si="617"/>
        <v>0</v>
      </c>
      <c r="F3328" s="273">
        <f t="shared" si="617"/>
        <v>0</v>
      </c>
      <c r="G3328" s="273">
        <f t="shared" si="617"/>
        <v>0</v>
      </c>
      <c r="H3328" s="273">
        <f t="shared" si="617"/>
        <v>0</v>
      </c>
      <c r="I3328" s="273">
        <f t="shared" si="617"/>
        <v>0</v>
      </c>
      <c r="J3328" s="273">
        <f t="shared" si="617"/>
        <v>2.3937647919692262</v>
      </c>
      <c r="K3328" s="273">
        <f t="shared" si="617"/>
        <v>0</v>
      </c>
      <c r="L3328" s="273">
        <f t="shared" si="617"/>
        <v>0</v>
      </c>
      <c r="M3328" s="273">
        <f t="shared" si="617"/>
        <v>0</v>
      </c>
      <c r="N3328" s="273">
        <f t="shared" si="617"/>
        <v>0</v>
      </c>
      <c r="O3328" s="273">
        <f t="shared" si="617"/>
        <v>0</v>
      </c>
      <c r="P3328" s="273">
        <f t="shared" si="617"/>
        <v>0</v>
      </c>
      <c r="Q3328" s="273">
        <f t="shared" si="617"/>
        <v>0</v>
      </c>
      <c r="R3328" s="273">
        <f t="shared" si="617"/>
        <v>0</v>
      </c>
      <c r="S3328" s="273">
        <f t="shared" si="617"/>
        <v>31.52883445966058</v>
      </c>
      <c r="T3328" s="265"/>
    </row>
    <row r="3329" spans="1:20">
      <c r="A3329" s="285" t="s">
        <v>59</v>
      </c>
      <c r="B3329" s="273">
        <f t="shared" ref="B3329:S3329" si="618">B$3106*$B3312</f>
        <v>0</v>
      </c>
      <c r="C3329" s="273">
        <f t="shared" si="618"/>
        <v>0</v>
      </c>
      <c r="D3329" s="273">
        <f t="shared" si="618"/>
        <v>0</v>
      </c>
      <c r="E3329" s="273">
        <f t="shared" si="618"/>
        <v>0</v>
      </c>
      <c r="F3329" s="273">
        <f t="shared" si="618"/>
        <v>0</v>
      </c>
      <c r="G3329" s="273">
        <f t="shared" si="618"/>
        <v>0</v>
      </c>
      <c r="H3329" s="273">
        <f t="shared" si="618"/>
        <v>0</v>
      </c>
      <c r="I3329" s="273">
        <f t="shared" si="618"/>
        <v>1.6325560864320499</v>
      </c>
      <c r="J3329" s="273">
        <f t="shared" si="618"/>
        <v>0</v>
      </c>
      <c r="K3329" s="273">
        <f t="shared" si="618"/>
        <v>0</v>
      </c>
      <c r="L3329" s="273">
        <f t="shared" si="618"/>
        <v>0</v>
      </c>
      <c r="M3329" s="273">
        <f t="shared" si="618"/>
        <v>0</v>
      </c>
      <c r="N3329" s="273">
        <f t="shared" si="618"/>
        <v>0</v>
      </c>
      <c r="O3329" s="273">
        <f t="shared" si="618"/>
        <v>0</v>
      </c>
      <c r="P3329" s="273">
        <f t="shared" si="618"/>
        <v>0</v>
      </c>
      <c r="Q3329" s="273">
        <f t="shared" si="618"/>
        <v>0</v>
      </c>
      <c r="R3329" s="273">
        <f t="shared" si="618"/>
        <v>21.502777034699221</v>
      </c>
      <c r="S3329" s="273">
        <f t="shared" si="618"/>
        <v>0</v>
      </c>
      <c r="T3329" s="265"/>
    </row>
    <row r="3330" spans="1:20">
      <c r="A3330" s="285" t="s">
        <v>72</v>
      </c>
      <c r="B3330" s="273">
        <f t="shared" ref="B3330:S3330" si="619">B$3107*$B3313</f>
        <v>0</v>
      </c>
      <c r="C3330" s="273">
        <f t="shared" si="619"/>
        <v>0</v>
      </c>
      <c r="D3330" s="273">
        <f t="shared" si="619"/>
        <v>0</v>
      </c>
      <c r="E3330" s="273">
        <f t="shared" si="619"/>
        <v>2.3770128584630981</v>
      </c>
      <c r="F3330" s="273">
        <f t="shared" si="619"/>
        <v>0</v>
      </c>
      <c r="G3330" s="273">
        <f t="shared" si="619"/>
        <v>0</v>
      </c>
      <c r="H3330" s="273">
        <f t="shared" si="619"/>
        <v>0</v>
      </c>
      <c r="I3330" s="273">
        <f t="shared" si="619"/>
        <v>0</v>
      </c>
      <c r="J3330" s="273">
        <f t="shared" si="619"/>
        <v>0</v>
      </c>
      <c r="K3330" s="273">
        <f t="shared" si="619"/>
        <v>0</v>
      </c>
      <c r="L3330" s="273">
        <f t="shared" si="619"/>
        <v>0</v>
      </c>
      <c r="M3330" s="273">
        <f t="shared" si="619"/>
        <v>0</v>
      </c>
      <c r="N3330" s="273">
        <f t="shared" si="619"/>
        <v>4.7436652781500008</v>
      </c>
      <c r="O3330" s="273">
        <f t="shared" si="619"/>
        <v>23.83801381663757</v>
      </c>
      <c r="P3330" s="273">
        <f t="shared" si="619"/>
        <v>0</v>
      </c>
      <c r="Q3330" s="273">
        <f t="shared" si="619"/>
        <v>61.968523193279509</v>
      </c>
      <c r="R3330" s="273">
        <f t="shared" si="619"/>
        <v>0</v>
      </c>
      <c r="S3330" s="273">
        <f t="shared" si="619"/>
        <v>0</v>
      </c>
      <c r="T3330" s="265"/>
    </row>
    <row r="3331" spans="1:20">
      <c r="A3331" s="285" t="s">
        <v>1178</v>
      </c>
      <c r="B3331" s="273">
        <f t="shared" ref="B3331:S3331" si="620">B$3108*$B3314</f>
        <v>0</v>
      </c>
      <c r="C3331" s="273">
        <f t="shared" si="620"/>
        <v>0</v>
      </c>
      <c r="D3331" s="273">
        <f t="shared" si="620"/>
        <v>0</v>
      </c>
      <c r="E3331" s="273">
        <f t="shared" si="620"/>
        <v>0</v>
      </c>
      <c r="F3331" s="273">
        <f t="shared" si="620"/>
        <v>0</v>
      </c>
      <c r="G3331" s="273">
        <f t="shared" si="620"/>
        <v>0</v>
      </c>
      <c r="H3331" s="273">
        <f t="shared" si="620"/>
        <v>0</v>
      </c>
      <c r="I3331" s="273">
        <f t="shared" si="620"/>
        <v>0</v>
      </c>
      <c r="J3331" s="273">
        <f t="shared" si="620"/>
        <v>0.20766232662557069</v>
      </c>
      <c r="K3331" s="273">
        <f t="shared" si="620"/>
        <v>0</v>
      </c>
      <c r="L3331" s="273">
        <f t="shared" si="620"/>
        <v>0</v>
      </c>
      <c r="M3331" s="273">
        <f t="shared" si="620"/>
        <v>0</v>
      </c>
      <c r="N3331" s="273">
        <f t="shared" si="620"/>
        <v>0</v>
      </c>
      <c r="O3331" s="273">
        <f t="shared" si="620"/>
        <v>0</v>
      </c>
      <c r="P3331" s="273">
        <f t="shared" si="620"/>
        <v>0</v>
      </c>
      <c r="Q3331" s="273">
        <f t="shared" si="620"/>
        <v>0</v>
      </c>
      <c r="R3331" s="273">
        <f t="shared" si="620"/>
        <v>0</v>
      </c>
      <c r="S3331" s="273">
        <f t="shared" si="620"/>
        <v>2.7351689446060479</v>
      </c>
      <c r="T3331" s="265"/>
    </row>
    <row r="3332" spans="1:20">
      <c r="A3332" s="285" t="s">
        <v>1177</v>
      </c>
      <c r="B3332" s="273">
        <f t="shared" ref="B3332:S3332" si="621">B$3109*$B3315</f>
        <v>0</v>
      </c>
      <c r="C3332" s="273">
        <f t="shared" si="621"/>
        <v>0</v>
      </c>
      <c r="D3332" s="273">
        <f t="shared" si="621"/>
        <v>0</v>
      </c>
      <c r="E3332" s="273">
        <f t="shared" si="621"/>
        <v>0</v>
      </c>
      <c r="F3332" s="273">
        <f t="shared" si="621"/>
        <v>0</v>
      </c>
      <c r="G3332" s="273">
        <f t="shared" si="621"/>
        <v>0</v>
      </c>
      <c r="H3332" s="273">
        <f t="shared" si="621"/>
        <v>0</v>
      </c>
      <c r="I3332" s="273">
        <f t="shared" si="621"/>
        <v>0</v>
      </c>
      <c r="J3332" s="273">
        <f t="shared" si="621"/>
        <v>0.20766232662557069</v>
      </c>
      <c r="K3332" s="273">
        <f t="shared" si="621"/>
        <v>0</v>
      </c>
      <c r="L3332" s="273">
        <f t="shared" si="621"/>
        <v>0</v>
      </c>
      <c r="M3332" s="273">
        <f t="shared" si="621"/>
        <v>0</v>
      </c>
      <c r="N3332" s="273">
        <f t="shared" si="621"/>
        <v>0</v>
      </c>
      <c r="O3332" s="273">
        <f t="shared" si="621"/>
        <v>0</v>
      </c>
      <c r="P3332" s="273">
        <f t="shared" si="621"/>
        <v>0</v>
      </c>
      <c r="Q3332" s="273">
        <f t="shared" si="621"/>
        <v>0</v>
      </c>
      <c r="R3332" s="273">
        <f t="shared" si="621"/>
        <v>0</v>
      </c>
      <c r="S3332" s="273">
        <f t="shared" si="621"/>
        <v>2.7351689446060479</v>
      </c>
      <c r="T3332" s="265"/>
    </row>
    <row r="3334" spans="1:20" ht="21" customHeight="1">
      <c r="A3334" s="1" t="str">
        <f>"Reactive power unit charges for "&amp;CDCM!B7&amp;" in "&amp;CDCM!C7&amp;" ("&amp;CDCM!D7&amp;")"</f>
        <v>Reactive power unit charges for 0 in 0 (0)</v>
      </c>
    </row>
    <row r="3336" spans="1:20" ht="21" customHeight="1">
      <c r="A3336" s="1" t="s">
        <v>1375</v>
      </c>
    </row>
    <row r="3337" spans="1:20">
      <c r="A3337" s="264" t="s">
        <v>1139</v>
      </c>
    </row>
    <row r="3338" spans="1:20">
      <c r="A3338" s="264" t="s">
        <v>1138</v>
      </c>
    </row>
    <row r="3340" spans="1:20">
      <c r="B3340" s="284" t="s">
        <v>22</v>
      </c>
      <c r="C3340" s="284" t="s">
        <v>23</v>
      </c>
      <c r="D3340" s="284" t="s">
        <v>24</v>
      </c>
      <c r="E3340" s="284" t="s">
        <v>25</v>
      </c>
      <c r="F3340" s="284" t="s">
        <v>26</v>
      </c>
      <c r="G3340" s="284" t="s">
        <v>31</v>
      </c>
      <c r="H3340" s="284" t="s">
        <v>27</v>
      </c>
      <c r="I3340" s="284" t="s">
        <v>28</v>
      </c>
      <c r="J3340" s="284" t="s">
        <v>29</v>
      </c>
    </row>
    <row r="3341" spans="1:20">
      <c r="A3341" s="285" t="s">
        <v>63</v>
      </c>
      <c r="B3341" s="272">
        <v>1</v>
      </c>
      <c r="C3341" s="272">
        <v>1</v>
      </c>
      <c r="D3341" s="272">
        <v>1</v>
      </c>
      <c r="E3341" s="272">
        <v>1</v>
      </c>
      <c r="F3341" s="272">
        <v>1</v>
      </c>
      <c r="G3341" s="272">
        <v>1</v>
      </c>
      <c r="H3341" s="272">
        <v>1</v>
      </c>
      <c r="I3341" s="272">
        <v>1</v>
      </c>
      <c r="J3341" s="272">
        <v>1</v>
      </c>
      <c r="K3341" s="265"/>
    </row>
    <row r="3342" spans="1:20">
      <c r="A3342" s="285" t="s">
        <v>64</v>
      </c>
      <c r="B3342" s="272">
        <v>1</v>
      </c>
      <c r="C3342" s="272">
        <v>1</v>
      </c>
      <c r="D3342" s="272">
        <v>1</v>
      </c>
      <c r="E3342" s="272">
        <v>1</v>
      </c>
      <c r="F3342" s="272">
        <v>1</v>
      </c>
      <c r="G3342" s="272">
        <v>1</v>
      </c>
      <c r="H3342" s="272">
        <v>1</v>
      </c>
      <c r="I3342" s="272">
        <v>1</v>
      </c>
      <c r="J3342" s="272">
        <v>1</v>
      </c>
      <c r="K3342" s="265"/>
    </row>
    <row r="3343" spans="1:20">
      <c r="A3343" s="285" t="s">
        <v>65</v>
      </c>
      <c r="B3343" s="272">
        <v>1</v>
      </c>
      <c r="C3343" s="272">
        <v>1</v>
      </c>
      <c r="D3343" s="272">
        <v>1</v>
      </c>
      <c r="E3343" s="272">
        <v>1</v>
      </c>
      <c r="F3343" s="272">
        <v>1</v>
      </c>
      <c r="G3343" s="272">
        <v>1</v>
      </c>
      <c r="H3343" s="272">
        <v>1</v>
      </c>
      <c r="I3343" s="272">
        <v>1</v>
      </c>
      <c r="J3343" s="272">
        <v>0</v>
      </c>
      <c r="K3343" s="265"/>
    </row>
    <row r="3344" spans="1:20">
      <c r="A3344" s="285" t="s">
        <v>66</v>
      </c>
      <c r="B3344" s="272">
        <v>1</v>
      </c>
      <c r="C3344" s="272">
        <v>1</v>
      </c>
      <c r="D3344" s="272">
        <v>1</v>
      </c>
      <c r="E3344" s="272">
        <v>1</v>
      </c>
      <c r="F3344" s="272">
        <v>1</v>
      </c>
      <c r="G3344" s="272">
        <v>1</v>
      </c>
      <c r="H3344" s="272">
        <v>1</v>
      </c>
      <c r="I3344" s="272">
        <v>1</v>
      </c>
      <c r="J3344" s="272">
        <v>0</v>
      </c>
      <c r="K3344" s="265"/>
    </row>
    <row r="3345" spans="1:20">
      <c r="A3345" s="285" t="s">
        <v>74</v>
      </c>
      <c r="B3345" s="272">
        <v>1</v>
      </c>
      <c r="C3345" s="272">
        <v>1</v>
      </c>
      <c r="D3345" s="272">
        <v>1</v>
      </c>
      <c r="E3345" s="272">
        <v>1</v>
      </c>
      <c r="F3345" s="272">
        <v>1</v>
      </c>
      <c r="G3345" s="272">
        <v>1</v>
      </c>
      <c r="H3345" s="272">
        <v>1</v>
      </c>
      <c r="I3345" s="272">
        <v>0</v>
      </c>
      <c r="J3345" s="272">
        <v>0</v>
      </c>
      <c r="K3345" s="265"/>
    </row>
    <row r="3346" spans="1:20">
      <c r="A3346" s="285" t="s">
        <v>75</v>
      </c>
      <c r="B3346" s="272">
        <v>1</v>
      </c>
      <c r="C3346" s="272">
        <v>1</v>
      </c>
      <c r="D3346" s="272">
        <v>1</v>
      </c>
      <c r="E3346" s="272">
        <v>1</v>
      </c>
      <c r="F3346" s="272">
        <v>1</v>
      </c>
      <c r="G3346" s="272">
        <v>1</v>
      </c>
      <c r="H3346" s="272">
        <v>1</v>
      </c>
      <c r="I3346" s="272">
        <v>0</v>
      </c>
      <c r="J3346" s="272">
        <v>0</v>
      </c>
      <c r="K3346" s="265"/>
    </row>
    <row r="3348" spans="1:20" ht="21" customHeight="1">
      <c r="A3348" s="1" t="s">
        <v>1376</v>
      </c>
    </row>
    <row r="3349" spans="1:20">
      <c r="A3349" s="264" t="s">
        <v>217</v>
      </c>
    </row>
    <row r="3350" spans="1:20">
      <c r="A3350" s="269" t="s">
        <v>1140</v>
      </c>
    </row>
    <row r="3351" spans="1:20">
      <c r="A3351" s="264" t="s">
        <v>682</v>
      </c>
    </row>
    <row r="3353" spans="1:20" ht="30">
      <c r="B3353" s="284" t="s">
        <v>22</v>
      </c>
      <c r="C3353" s="284" t="s">
        <v>182</v>
      </c>
      <c r="D3353" s="284" t="s">
        <v>183</v>
      </c>
      <c r="E3353" s="284" t="s">
        <v>184</v>
      </c>
      <c r="F3353" s="284" t="s">
        <v>185</v>
      </c>
      <c r="G3353" s="284" t="s">
        <v>186</v>
      </c>
      <c r="H3353" s="284" t="s">
        <v>187</v>
      </c>
      <c r="I3353" s="284" t="s">
        <v>188</v>
      </c>
      <c r="J3353" s="284" t="s">
        <v>189</v>
      </c>
      <c r="K3353" s="284" t="s">
        <v>170</v>
      </c>
      <c r="L3353" s="284" t="s">
        <v>567</v>
      </c>
      <c r="M3353" s="284" t="s">
        <v>568</v>
      </c>
      <c r="N3353" s="284" t="s">
        <v>569</v>
      </c>
      <c r="O3353" s="284" t="s">
        <v>570</v>
      </c>
      <c r="P3353" s="284" t="s">
        <v>571</v>
      </c>
      <c r="Q3353" s="284" t="s">
        <v>572</v>
      </c>
      <c r="R3353" s="284" t="s">
        <v>573</v>
      </c>
      <c r="S3353" s="284" t="s">
        <v>574</v>
      </c>
    </row>
    <row r="3354" spans="1:20">
      <c r="A3354" s="285" t="s">
        <v>60</v>
      </c>
      <c r="B3354" s="273">
        <f t="shared" ref="B3354:S3354" si="622">ABS(B$3137)</f>
        <v>0</v>
      </c>
      <c r="C3354" s="273">
        <f t="shared" si="622"/>
        <v>0.23558701873238122</v>
      </c>
      <c r="D3354" s="273">
        <f t="shared" si="622"/>
        <v>3.336836846911681E-2</v>
      </c>
      <c r="E3354" s="273">
        <f t="shared" si="622"/>
        <v>8.4238345243050614E-2</v>
      </c>
      <c r="F3354" s="273">
        <f t="shared" si="622"/>
        <v>1.6086051473250484E-2</v>
      </c>
      <c r="G3354" s="273">
        <f t="shared" si="622"/>
        <v>0</v>
      </c>
      <c r="H3354" s="273">
        <f t="shared" si="622"/>
        <v>4.5831185105342065E-2</v>
      </c>
      <c r="I3354" s="273">
        <f t="shared" si="622"/>
        <v>0</v>
      </c>
      <c r="J3354" s="273">
        <f t="shared" si="622"/>
        <v>0</v>
      </c>
      <c r="K3354" s="273">
        <f t="shared" si="622"/>
        <v>7.1656852817721231E-2</v>
      </c>
      <c r="L3354" s="273">
        <f t="shared" si="622"/>
        <v>0.15514857891170999</v>
      </c>
      <c r="M3354" s="273">
        <f t="shared" si="622"/>
        <v>2.1975128241113914E-2</v>
      </c>
      <c r="N3354" s="273">
        <f t="shared" si="622"/>
        <v>5.5476144758127628E-2</v>
      </c>
      <c r="O3354" s="273">
        <f t="shared" si="622"/>
        <v>5.5756088496774214E-2</v>
      </c>
      <c r="P3354" s="273">
        <f t="shared" si="622"/>
        <v>0</v>
      </c>
      <c r="Q3354" s="273">
        <f t="shared" si="622"/>
        <v>0.15885611312973955</v>
      </c>
      <c r="R3354" s="273">
        <f t="shared" si="622"/>
        <v>0</v>
      </c>
      <c r="S3354" s="273">
        <f t="shared" si="622"/>
        <v>0</v>
      </c>
      <c r="T3354" s="265"/>
    </row>
    <row r="3355" spans="1:20">
      <c r="A3355" s="285" t="s">
        <v>61</v>
      </c>
      <c r="B3355" s="273">
        <f t="shared" ref="B3355:S3355" si="623">ABS(B$3138)</f>
        <v>0</v>
      </c>
      <c r="C3355" s="273">
        <f t="shared" si="623"/>
        <v>0.21316507213008473</v>
      </c>
      <c r="D3355" s="273">
        <f t="shared" si="623"/>
        <v>3.0192540785375862E-2</v>
      </c>
      <c r="E3355" s="273">
        <f t="shared" si="623"/>
        <v>7.6220977864030884E-2</v>
      </c>
      <c r="F3355" s="273">
        <f t="shared" si="623"/>
        <v>1.455506479530989E-2</v>
      </c>
      <c r="G3355" s="273">
        <f t="shared" si="623"/>
        <v>0</v>
      </c>
      <c r="H3355" s="273">
        <f t="shared" si="623"/>
        <v>0</v>
      </c>
      <c r="I3355" s="273">
        <f t="shared" si="623"/>
        <v>0</v>
      </c>
      <c r="J3355" s="273">
        <f t="shared" si="623"/>
        <v>0</v>
      </c>
      <c r="K3355" s="273">
        <f t="shared" si="623"/>
        <v>6.4836926421892482E-2</v>
      </c>
      <c r="L3355" s="273">
        <f t="shared" si="623"/>
        <v>0.14038234446255185</v>
      </c>
      <c r="M3355" s="273">
        <f t="shared" si="623"/>
        <v>1.9883649879309122E-2</v>
      </c>
      <c r="N3355" s="273">
        <f t="shared" si="623"/>
        <v>5.0196213961596681E-2</v>
      </c>
      <c r="O3355" s="273">
        <f t="shared" si="623"/>
        <v>5.0449514111842869E-2</v>
      </c>
      <c r="P3355" s="273">
        <f t="shared" si="623"/>
        <v>0</v>
      </c>
      <c r="Q3355" s="273">
        <f t="shared" si="623"/>
        <v>0</v>
      </c>
      <c r="R3355" s="273">
        <f t="shared" si="623"/>
        <v>0</v>
      </c>
      <c r="S3355" s="273">
        <f t="shared" si="623"/>
        <v>0</v>
      </c>
      <c r="T3355" s="265"/>
    </row>
    <row r="3356" spans="1:20">
      <c r="A3356" s="285" t="s">
        <v>73</v>
      </c>
      <c r="B3356" s="273">
        <f t="shared" ref="B3356:S3356" si="624">ABS(B$3139)</f>
        <v>0</v>
      </c>
      <c r="C3356" s="273">
        <f t="shared" si="624"/>
        <v>0.18653552534460066</v>
      </c>
      <c r="D3356" s="273">
        <f t="shared" si="624"/>
        <v>8.7188480842629434E-3</v>
      </c>
      <c r="E3356" s="273">
        <f t="shared" si="624"/>
        <v>1.7608564487619181E-2</v>
      </c>
      <c r="F3356" s="273">
        <f t="shared" si="624"/>
        <v>0</v>
      </c>
      <c r="G3356" s="273">
        <f t="shared" si="624"/>
        <v>0</v>
      </c>
      <c r="H3356" s="273">
        <f t="shared" si="624"/>
        <v>0</v>
      </c>
      <c r="I3356" s="273">
        <f t="shared" si="624"/>
        <v>0</v>
      </c>
      <c r="J3356" s="273">
        <f t="shared" si="624"/>
        <v>0</v>
      </c>
      <c r="K3356" s="273">
        <f t="shared" si="624"/>
        <v>5.673720375942401E-2</v>
      </c>
      <c r="L3356" s="273">
        <f t="shared" si="624"/>
        <v>0.12284514583819119</v>
      </c>
      <c r="M3356" s="273">
        <f t="shared" si="624"/>
        <v>1.739969423199687E-2</v>
      </c>
      <c r="N3356" s="273">
        <f t="shared" si="624"/>
        <v>3.5140380356205383E-2</v>
      </c>
      <c r="O3356" s="273">
        <f t="shared" si="624"/>
        <v>0</v>
      </c>
      <c r="P3356" s="273">
        <f t="shared" si="624"/>
        <v>0</v>
      </c>
      <c r="Q3356" s="273">
        <f t="shared" si="624"/>
        <v>0</v>
      </c>
      <c r="R3356" s="273">
        <f t="shared" si="624"/>
        <v>0</v>
      </c>
      <c r="S3356" s="273">
        <f t="shared" si="624"/>
        <v>0</v>
      </c>
      <c r="T3356" s="265"/>
    </row>
    <row r="3358" spans="1:20" ht="21" customHeight="1">
      <c r="A3358" s="1" t="s">
        <v>1377</v>
      </c>
    </row>
    <row r="3359" spans="1:20">
      <c r="A3359" s="264" t="s">
        <v>217</v>
      </c>
    </row>
    <row r="3360" spans="1:20">
      <c r="A3360" s="269" t="s">
        <v>1378</v>
      </c>
    </row>
    <row r="3361" spans="1:20">
      <c r="A3361" s="269" t="s">
        <v>683</v>
      </c>
    </row>
    <row r="3362" spans="1:20">
      <c r="A3362" s="269" t="s">
        <v>679</v>
      </c>
    </row>
    <row r="3363" spans="1:20">
      <c r="A3363" s="264" t="s">
        <v>684</v>
      </c>
    </row>
    <row r="3365" spans="1:20" ht="30">
      <c r="B3365" s="284" t="s">
        <v>22</v>
      </c>
      <c r="C3365" s="284" t="s">
        <v>182</v>
      </c>
      <c r="D3365" s="284" t="s">
        <v>183</v>
      </c>
      <c r="E3365" s="284" t="s">
        <v>184</v>
      </c>
      <c r="F3365" s="284" t="s">
        <v>185</v>
      </c>
      <c r="G3365" s="284" t="s">
        <v>186</v>
      </c>
      <c r="H3365" s="284" t="s">
        <v>187</v>
      </c>
      <c r="I3365" s="284" t="s">
        <v>188</v>
      </c>
      <c r="J3365" s="284" t="s">
        <v>189</v>
      </c>
      <c r="K3365" s="284" t="s">
        <v>170</v>
      </c>
      <c r="L3365" s="284" t="s">
        <v>567</v>
      </c>
      <c r="M3365" s="284" t="s">
        <v>568</v>
      </c>
      <c r="N3365" s="284" t="s">
        <v>569</v>
      </c>
      <c r="O3365" s="284" t="s">
        <v>570</v>
      </c>
      <c r="P3365" s="284" t="s">
        <v>571</v>
      </c>
      <c r="Q3365" s="284" t="s">
        <v>572</v>
      </c>
      <c r="R3365" s="284" t="s">
        <v>573</v>
      </c>
      <c r="S3365" s="284" t="s">
        <v>574</v>
      </c>
    </row>
    <row r="3366" spans="1:20">
      <c r="A3366" s="285" t="s">
        <v>60</v>
      </c>
      <c r="B3366" s="273">
        <f t="shared" ref="B3366:J3368" si="625">B3354*B$350*$E$14</f>
        <v>0</v>
      </c>
      <c r="C3366" s="273">
        <f t="shared" si="625"/>
        <v>4.3147705283382326E-2</v>
      </c>
      <c r="D3366" s="273">
        <f t="shared" si="625"/>
        <v>6.1114085837143993E-3</v>
      </c>
      <c r="E3366" s="273">
        <f t="shared" si="625"/>
        <v>1.5428232479293962E-2</v>
      </c>
      <c r="F3366" s="273">
        <f t="shared" si="625"/>
        <v>2.9461564218424816E-3</v>
      </c>
      <c r="G3366" s="273">
        <f t="shared" si="625"/>
        <v>0</v>
      </c>
      <c r="H3366" s="273">
        <f t="shared" si="625"/>
        <v>8.3939704248298386E-3</v>
      </c>
      <c r="I3366" s="273">
        <f t="shared" si="625"/>
        <v>0</v>
      </c>
      <c r="J3366" s="273">
        <f t="shared" si="625"/>
        <v>0</v>
      </c>
      <c r="K3366" s="273">
        <f t="shared" ref="K3366:S3368" si="626">K3354*B$350*$E$14</f>
        <v>1.3123935196217037E-2</v>
      </c>
      <c r="L3366" s="273">
        <f t="shared" si="626"/>
        <v>2.8415424559629705E-2</v>
      </c>
      <c r="M3366" s="273">
        <f t="shared" si="626"/>
        <v>4.0247394020856931E-3</v>
      </c>
      <c r="N3366" s="273">
        <f t="shared" si="626"/>
        <v>1.0160442443567196E-2</v>
      </c>
      <c r="O3366" s="273">
        <f t="shared" si="626"/>
        <v>1.0211714071333632E-2</v>
      </c>
      <c r="P3366" s="273">
        <f t="shared" si="626"/>
        <v>0</v>
      </c>
      <c r="Q3366" s="273">
        <f t="shared" si="626"/>
        <v>2.9094458551520899E-2</v>
      </c>
      <c r="R3366" s="273">
        <f t="shared" si="626"/>
        <v>0</v>
      </c>
      <c r="S3366" s="273">
        <f t="shared" si="626"/>
        <v>0</v>
      </c>
      <c r="T3366" s="265"/>
    </row>
    <row r="3367" spans="1:20">
      <c r="A3367" s="285" t="s">
        <v>61</v>
      </c>
      <c r="B3367" s="273">
        <f t="shared" si="625"/>
        <v>0</v>
      </c>
      <c r="C3367" s="273">
        <f t="shared" si="625"/>
        <v>3.9041131206927711E-2</v>
      </c>
      <c r="D3367" s="273">
        <f t="shared" si="625"/>
        <v>5.5297565144867564E-3</v>
      </c>
      <c r="E3367" s="273">
        <f t="shared" si="625"/>
        <v>1.3959853590338658E-2</v>
      </c>
      <c r="F3367" s="273">
        <f t="shared" si="625"/>
        <v>2.6657565834812451E-3</v>
      </c>
      <c r="G3367" s="273">
        <f t="shared" si="625"/>
        <v>0</v>
      </c>
      <c r="H3367" s="273">
        <f t="shared" si="625"/>
        <v>0</v>
      </c>
      <c r="I3367" s="273">
        <f t="shared" si="625"/>
        <v>0</v>
      </c>
      <c r="J3367" s="273">
        <f t="shared" si="625"/>
        <v>0</v>
      </c>
      <c r="K3367" s="273">
        <f t="shared" si="626"/>
        <v>1.1874867332610117E-2</v>
      </c>
      <c r="L3367" s="273">
        <f t="shared" si="626"/>
        <v>2.571099230531539E-2</v>
      </c>
      <c r="M3367" s="273">
        <f t="shared" si="626"/>
        <v>3.641685647904794E-3</v>
      </c>
      <c r="N3367" s="273">
        <f t="shared" si="626"/>
        <v>9.1934244000808369E-3</v>
      </c>
      <c r="O3367" s="273">
        <f t="shared" si="626"/>
        <v>9.2398162611004569E-3</v>
      </c>
      <c r="P3367" s="273">
        <f t="shared" si="626"/>
        <v>0</v>
      </c>
      <c r="Q3367" s="273">
        <f t="shared" si="626"/>
        <v>0</v>
      </c>
      <c r="R3367" s="273">
        <f t="shared" si="626"/>
        <v>0</v>
      </c>
      <c r="S3367" s="273">
        <f t="shared" si="626"/>
        <v>0</v>
      </c>
      <c r="T3367" s="265"/>
    </row>
    <row r="3368" spans="1:20">
      <c r="A3368" s="285" t="s">
        <v>73</v>
      </c>
      <c r="B3368" s="273">
        <f t="shared" si="625"/>
        <v>0</v>
      </c>
      <c r="C3368" s="273">
        <f t="shared" si="625"/>
        <v>3.4163936178472701E-2</v>
      </c>
      <c r="D3368" s="273">
        <f t="shared" si="625"/>
        <v>1.5968549098102406E-3</v>
      </c>
      <c r="E3368" s="273">
        <f t="shared" si="625"/>
        <v>3.2250043107778202E-3</v>
      </c>
      <c r="F3368" s="273">
        <f t="shared" si="625"/>
        <v>0</v>
      </c>
      <c r="G3368" s="273">
        <f t="shared" si="625"/>
        <v>0</v>
      </c>
      <c r="H3368" s="273">
        <f t="shared" si="625"/>
        <v>0</v>
      </c>
      <c r="I3368" s="273">
        <f t="shared" si="625"/>
        <v>0</v>
      </c>
      <c r="J3368" s="273">
        <f t="shared" si="625"/>
        <v>0</v>
      </c>
      <c r="K3368" s="273">
        <f t="shared" si="626"/>
        <v>1.0391405093485961E-2</v>
      </c>
      <c r="L3368" s="273">
        <f t="shared" si="626"/>
        <v>2.2499058635066665E-2</v>
      </c>
      <c r="M3368" s="273">
        <f t="shared" si="626"/>
        <v>3.1867497741715658E-3</v>
      </c>
      <c r="N3368" s="273">
        <f t="shared" si="626"/>
        <v>6.4359521306133136E-3</v>
      </c>
      <c r="O3368" s="273">
        <f t="shared" si="626"/>
        <v>0</v>
      </c>
      <c r="P3368" s="273">
        <f t="shared" si="626"/>
        <v>0</v>
      </c>
      <c r="Q3368" s="273">
        <f t="shared" si="626"/>
        <v>0</v>
      </c>
      <c r="R3368" s="273">
        <f t="shared" si="626"/>
        <v>0</v>
      </c>
      <c r="S3368" s="273">
        <f t="shared" si="626"/>
        <v>0</v>
      </c>
      <c r="T3368" s="265"/>
    </row>
    <row r="3370" spans="1:20" ht="21" customHeight="1">
      <c r="A3370" s="1" t="s">
        <v>685</v>
      </c>
    </row>
    <row r="3371" spans="1:20">
      <c r="A3371" s="264" t="s">
        <v>217</v>
      </c>
    </row>
    <row r="3372" spans="1:20">
      <c r="A3372" s="269" t="s">
        <v>686</v>
      </c>
    </row>
    <row r="3373" spans="1:20">
      <c r="A3373" s="264" t="s">
        <v>682</v>
      </c>
    </row>
    <row r="3375" spans="1:20">
      <c r="B3375" s="284" t="s">
        <v>687</v>
      </c>
    </row>
    <row r="3376" spans="1:20">
      <c r="A3376" s="285" t="s">
        <v>63</v>
      </c>
      <c r="B3376" s="273">
        <f>ABS(B$1001)</f>
        <v>1</v>
      </c>
      <c r="C3376" s="265"/>
    </row>
    <row r="3377" spans="1:3">
      <c r="A3377" s="285" t="s">
        <v>64</v>
      </c>
      <c r="B3377" s="273">
        <f>ABS(B$1003)</f>
        <v>1</v>
      </c>
      <c r="C3377" s="265"/>
    </row>
    <row r="3378" spans="1:3">
      <c r="A3378" s="285" t="s">
        <v>65</v>
      </c>
      <c r="B3378" s="273">
        <f>ABS(B$1005)</f>
        <v>1</v>
      </c>
      <c r="C3378" s="265"/>
    </row>
    <row r="3379" spans="1:3">
      <c r="A3379" s="285" t="s">
        <v>66</v>
      </c>
      <c r="B3379" s="273">
        <f>ABS(B$1007)</f>
        <v>1</v>
      </c>
      <c r="C3379" s="265"/>
    </row>
    <row r="3380" spans="1:3">
      <c r="A3380" s="285" t="s">
        <v>74</v>
      </c>
      <c r="B3380" s="273">
        <f>ABS(B$1009)</f>
        <v>1</v>
      </c>
      <c r="C3380" s="265"/>
    </row>
    <row r="3381" spans="1:3">
      <c r="A3381" s="285" t="s">
        <v>75</v>
      </c>
      <c r="B3381" s="273">
        <f>ABS(B$1011)</f>
        <v>1</v>
      </c>
      <c r="C3381" s="265"/>
    </row>
    <row r="3383" spans="1:3" ht="21" customHeight="1">
      <c r="A3383" s="1" t="s">
        <v>688</v>
      </c>
    </row>
    <row r="3384" spans="1:3">
      <c r="A3384" s="264" t="s">
        <v>217</v>
      </c>
    </row>
    <row r="3385" spans="1:3">
      <c r="A3385" s="269" t="s">
        <v>660</v>
      </c>
    </row>
    <row r="3386" spans="1:3">
      <c r="A3386" s="269" t="s">
        <v>689</v>
      </c>
    </row>
    <row r="3387" spans="1:3">
      <c r="A3387" s="269" t="s">
        <v>261</v>
      </c>
    </row>
    <row r="3388" spans="1:3">
      <c r="A3388" s="269" t="s">
        <v>690</v>
      </c>
    </row>
    <row r="3389" spans="1:3">
      <c r="A3389" s="269" t="s">
        <v>691</v>
      </c>
    </row>
    <row r="3390" spans="1:3">
      <c r="A3390" s="269" t="s">
        <v>1379</v>
      </c>
    </row>
    <row r="3391" spans="1:3">
      <c r="A3391" s="269" t="s">
        <v>692</v>
      </c>
    </row>
    <row r="3392" spans="1:3">
      <c r="A3392" s="264" t="s">
        <v>693</v>
      </c>
    </row>
    <row r="3394" spans="1:20" ht="30">
      <c r="B3394" s="284" t="s">
        <v>22</v>
      </c>
      <c r="C3394" s="284" t="s">
        <v>182</v>
      </c>
      <c r="D3394" s="284" t="s">
        <v>183</v>
      </c>
      <c r="E3394" s="284" t="s">
        <v>184</v>
      </c>
      <c r="F3394" s="284" t="s">
        <v>185</v>
      </c>
      <c r="G3394" s="284" t="s">
        <v>186</v>
      </c>
      <c r="H3394" s="284" t="s">
        <v>187</v>
      </c>
      <c r="I3394" s="284" t="s">
        <v>188</v>
      </c>
      <c r="J3394" s="284" t="s">
        <v>189</v>
      </c>
      <c r="K3394" s="284" t="s">
        <v>170</v>
      </c>
      <c r="L3394" s="284" t="s">
        <v>567</v>
      </c>
      <c r="M3394" s="284" t="s">
        <v>568</v>
      </c>
      <c r="N3394" s="284" t="s">
        <v>569</v>
      </c>
      <c r="O3394" s="284" t="s">
        <v>570</v>
      </c>
      <c r="P3394" s="284" t="s">
        <v>571</v>
      </c>
      <c r="Q3394" s="284" t="s">
        <v>572</v>
      </c>
      <c r="R3394" s="284" t="s">
        <v>573</v>
      </c>
      <c r="S3394" s="284" t="s">
        <v>574</v>
      </c>
    </row>
    <row r="3395" spans="1:20">
      <c r="A3395" s="285" t="s">
        <v>63</v>
      </c>
      <c r="B3395" s="273">
        <f t="shared" ref="B3395:J3395" si="627">B$2942*$B$3376*$I$386/B$434*(1-B$2919)*B3341/(24*$F$14)*100</f>
        <v>0</v>
      </c>
      <c r="C3395" s="273">
        <f t="shared" si="627"/>
        <v>0.17232463951343185</v>
      </c>
      <c r="D3395" s="273">
        <f t="shared" si="627"/>
        <v>2.440793257001966E-2</v>
      </c>
      <c r="E3395" s="273">
        <f t="shared" si="627"/>
        <v>6.1617751925910562E-2</v>
      </c>
      <c r="F3395" s="273">
        <f t="shared" si="627"/>
        <v>1.1766450614459882E-2</v>
      </c>
      <c r="G3395" s="273">
        <f t="shared" si="627"/>
        <v>0</v>
      </c>
      <c r="H3395" s="273">
        <f t="shared" si="627"/>
        <v>4.1905123286541911E-2</v>
      </c>
      <c r="I3395" s="273">
        <f t="shared" si="627"/>
        <v>4.6993599432719928E-3</v>
      </c>
      <c r="J3395" s="273">
        <f t="shared" si="627"/>
        <v>1.0092984319292144E-2</v>
      </c>
      <c r="K3395" s="273">
        <f t="shared" ref="K3395:S3395" si="628">K$2942*$B$3376*$I$386/B$434*(1-K$2919)*B3341/(24*$F$14)*100</f>
        <v>5.2414778186518129E-2</v>
      </c>
      <c r="L3395" s="273">
        <f t="shared" si="628"/>
        <v>0.11348640122804367</v>
      </c>
      <c r="M3395" s="273">
        <f t="shared" si="628"/>
        <v>1.6074128671381208E-2</v>
      </c>
      <c r="N3395" s="273">
        <f t="shared" si="628"/>
        <v>4.0579089198030174E-2</v>
      </c>
      <c r="O3395" s="273">
        <f t="shared" si="628"/>
        <v>4.0783859410352931E-2</v>
      </c>
      <c r="P3395" s="273">
        <f t="shared" si="628"/>
        <v>0</v>
      </c>
      <c r="Q3395" s="273">
        <f t="shared" si="628"/>
        <v>0.14524793522624102</v>
      </c>
      <c r="R3395" s="273">
        <f t="shared" si="628"/>
        <v>6.1896366015098181E-2</v>
      </c>
      <c r="S3395" s="273">
        <f t="shared" si="628"/>
        <v>0.13293705082241136</v>
      </c>
      <c r="T3395" s="265"/>
    </row>
    <row r="3396" spans="1:20">
      <c r="A3396" s="285" t="s">
        <v>64</v>
      </c>
      <c r="B3396" s="273">
        <f t="shared" ref="B3396:J3396" si="629">B$2942*$B$3377*$I$388/B$434*(1-B$2921)*B3342/(24*$F$14)*100</f>
        <v>0</v>
      </c>
      <c r="C3396" s="273">
        <f t="shared" si="629"/>
        <v>0.17232463951343185</v>
      </c>
      <c r="D3396" s="273">
        <f t="shared" si="629"/>
        <v>2.440793257001966E-2</v>
      </c>
      <c r="E3396" s="273">
        <f t="shared" si="629"/>
        <v>6.1617751925910562E-2</v>
      </c>
      <c r="F3396" s="273">
        <f t="shared" si="629"/>
        <v>1.1766450614459882E-2</v>
      </c>
      <c r="G3396" s="273">
        <f t="shared" si="629"/>
        <v>0</v>
      </c>
      <c r="H3396" s="273">
        <f t="shared" si="629"/>
        <v>4.1905123286541911E-2</v>
      </c>
      <c r="I3396" s="273">
        <f t="shared" si="629"/>
        <v>4.6993599432719928E-3</v>
      </c>
      <c r="J3396" s="273">
        <f t="shared" si="629"/>
        <v>1.0092984319292144E-2</v>
      </c>
      <c r="K3396" s="273">
        <f t="shared" ref="K3396:S3396" si="630">K$2942*$B$3377*$I$388/B$434*(1-K$2921)*B3342/(24*$F$14)*100</f>
        <v>5.2414778186518129E-2</v>
      </c>
      <c r="L3396" s="273">
        <f t="shared" si="630"/>
        <v>0.11348640122804367</v>
      </c>
      <c r="M3396" s="273">
        <f t="shared" si="630"/>
        <v>1.6074128671381208E-2</v>
      </c>
      <c r="N3396" s="273">
        <f t="shared" si="630"/>
        <v>4.0579089198030174E-2</v>
      </c>
      <c r="O3396" s="273">
        <f t="shared" si="630"/>
        <v>4.0783859410352931E-2</v>
      </c>
      <c r="P3396" s="273">
        <f t="shared" si="630"/>
        <v>0</v>
      </c>
      <c r="Q3396" s="273">
        <f t="shared" si="630"/>
        <v>0.14524793522624102</v>
      </c>
      <c r="R3396" s="273">
        <f t="shared" si="630"/>
        <v>6.1896366015098181E-2</v>
      </c>
      <c r="S3396" s="273">
        <f t="shared" si="630"/>
        <v>0.13293705082241136</v>
      </c>
      <c r="T3396" s="265"/>
    </row>
    <row r="3397" spans="1:20">
      <c r="A3397" s="285" t="s">
        <v>65</v>
      </c>
      <c r="B3397" s="273">
        <f t="shared" ref="B3397:J3397" si="631">B$2942*$B$3378*$I$390/B$434*(1-B$2923)*B3343/(24*$F$14)*100</f>
        <v>0</v>
      </c>
      <c r="C3397" s="273">
        <f t="shared" si="631"/>
        <v>0.17021520418982108</v>
      </c>
      <c r="D3397" s="273">
        <f t="shared" si="631"/>
        <v>2.4109153734416782E-2</v>
      </c>
      <c r="E3397" s="273">
        <f t="shared" si="631"/>
        <v>6.0863485659397518E-2</v>
      </c>
      <c r="F3397" s="273">
        <f t="shared" si="631"/>
        <v>1.1622416849876095E-2</v>
      </c>
      <c r="G3397" s="273">
        <f t="shared" si="631"/>
        <v>0</v>
      </c>
      <c r="H3397" s="273">
        <f t="shared" si="631"/>
        <v>4.1392160383787631E-2</v>
      </c>
      <c r="I3397" s="273">
        <f t="shared" si="631"/>
        <v>4.6418348215558564E-3</v>
      </c>
      <c r="J3397" s="273">
        <f t="shared" si="631"/>
        <v>0</v>
      </c>
      <c r="K3397" s="273">
        <f t="shared" ref="K3397:S3397" si="632">K$2942*$B$3378*$I$390/B$434*(1-K$2923)*B3343/(24*$F$14)*100</f>
        <v>5.1773166024159621E-2</v>
      </c>
      <c r="L3397" s="273">
        <f t="shared" si="632"/>
        <v>0.11209720799267213</v>
      </c>
      <c r="M3397" s="273">
        <f t="shared" si="632"/>
        <v>1.5877364384443392E-2</v>
      </c>
      <c r="N3397" s="273">
        <f t="shared" si="632"/>
        <v>4.0082358350973304E-2</v>
      </c>
      <c r="O3397" s="273">
        <f t="shared" si="632"/>
        <v>4.0284621959943707E-2</v>
      </c>
      <c r="P3397" s="273">
        <f t="shared" si="632"/>
        <v>0</v>
      </c>
      <c r="Q3397" s="273">
        <f t="shared" si="632"/>
        <v>0.14346994731857515</v>
      </c>
      <c r="R3397" s="273">
        <f t="shared" si="632"/>
        <v>6.1138689218303177E-2</v>
      </c>
      <c r="S3397" s="273">
        <f t="shared" si="632"/>
        <v>0</v>
      </c>
      <c r="T3397" s="265"/>
    </row>
    <row r="3398" spans="1:20">
      <c r="A3398" s="285" t="s">
        <v>66</v>
      </c>
      <c r="B3398" s="273">
        <f t="shared" ref="B3398:J3398" si="633">B$2942*$B$3379*$I$392/B$434*(1-B$2925)*B3344/(24*$F$14)*100</f>
        <v>0</v>
      </c>
      <c r="C3398" s="273">
        <f t="shared" si="633"/>
        <v>0.17021520418982108</v>
      </c>
      <c r="D3398" s="273">
        <f t="shared" si="633"/>
        <v>2.4109153734416782E-2</v>
      </c>
      <c r="E3398" s="273">
        <f t="shared" si="633"/>
        <v>6.0863485659397518E-2</v>
      </c>
      <c r="F3398" s="273">
        <f t="shared" si="633"/>
        <v>1.1622416849876095E-2</v>
      </c>
      <c r="G3398" s="273">
        <f t="shared" si="633"/>
        <v>0</v>
      </c>
      <c r="H3398" s="273">
        <f t="shared" si="633"/>
        <v>4.1392160383787631E-2</v>
      </c>
      <c r="I3398" s="273">
        <f t="shared" si="633"/>
        <v>4.6418348215558564E-3</v>
      </c>
      <c r="J3398" s="273">
        <f t="shared" si="633"/>
        <v>0</v>
      </c>
      <c r="K3398" s="273">
        <f t="shared" ref="K3398:S3398" si="634">K$2942*$B$3379*$I$392/B$434*(1-K$2925)*B3344/(24*$F$14)*100</f>
        <v>5.1773166024159621E-2</v>
      </c>
      <c r="L3398" s="273">
        <f t="shared" si="634"/>
        <v>0.11209720799267213</v>
      </c>
      <c r="M3398" s="273">
        <f t="shared" si="634"/>
        <v>1.5877364384443392E-2</v>
      </c>
      <c r="N3398" s="273">
        <f t="shared" si="634"/>
        <v>4.0082358350973304E-2</v>
      </c>
      <c r="O3398" s="273">
        <f t="shared" si="634"/>
        <v>4.0284621959943707E-2</v>
      </c>
      <c r="P3398" s="273">
        <f t="shared" si="634"/>
        <v>0</v>
      </c>
      <c r="Q3398" s="273">
        <f t="shared" si="634"/>
        <v>0.14346994731857515</v>
      </c>
      <c r="R3398" s="273">
        <f t="shared" si="634"/>
        <v>6.1138689218303177E-2</v>
      </c>
      <c r="S3398" s="273">
        <f t="shared" si="634"/>
        <v>0</v>
      </c>
      <c r="T3398" s="265"/>
    </row>
    <row r="3399" spans="1:20">
      <c r="A3399" s="285" t="s">
        <v>74</v>
      </c>
      <c r="B3399" s="273">
        <f t="shared" ref="B3399:J3399" si="635">B$2942*$B$3380*$I$394/B$434*(1-B$2927)*B3345/(24*$F$14)*100</f>
        <v>0</v>
      </c>
      <c r="C3399" s="273">
        <f t="shared" si="635"/>
        <v>0.16843029737753509</v>
      </c>
      <c r="D3399" s="273">
        <f t="shared" si="635"/>
        <v>7.8725924882622721E-3</v>
      </c>
      <c r="E3399" s="273">
        <f t="shared" si="635"/>
        <v>1.9874335917797931E-2</v>
      </c>
      <c r="F3399" s="273">
        <f t="shared" si="635"/>
        <v>0</v>
      </c>
      <c r="G3399" s="273">
        <f t="shared" si="635"/>
        <v>0</v>
      </c>
      <c r="H3399" s="273">
        <f t="shared" si="635"/>
        <v>0</v>
      </c>
      <c r="I3399" s="273">
        <f t="shared" si="635"/>
        <v>0</v>
      </c>
      <c r="J3399" s="273">
        <f t="shared" si="635"/>
        <v>0</v>
      </c>
      <c r="K3399" s="273">
        <f t="shared" ref="K3399:S3399" si="636">K$2942*$B$3380*$I$394/B$434*(1-K$2927)*B3345/(24*$F$14)*100</f>
        <v>5.1230263425240889E-2</v>
      </c>
      <c r="L3399" s="273">
        <f t="shared" si="636"/>
        <v>0.11092173679351162</v>
      </c>
      <c r="M3399" s="273">
        <f t="shared" si="636"/>
        <v>1.5710871526265244E-2</v>
      </c>
      <c r="N3399" s="273">
        <f t="shared" si="636"/>
        <v>3.966204763423288E-2</v>
      </c>
      <c r="O3399" s="273">
        <f t="shared" si="636"/>
        <v>3.9862190271135911E-2</v>
      </c>
      <c r="P3399" s="273">
        <f t="shared" si="636"/>
        <v>0</v>
      </c>
      <c r="Q3399" s="273">
        <f t="shared" si="636"/>
        <v>0.14196549601208866</v>
      </c>
      <c r="R3399" s="273">
        <f t="shared" si="636"/>
        <v>0</v>
      </c>
      <c r="S3399" s="273">
        <f t="shared" si="636"/>
        <v>0</v>
      </c>
      <c r="T3399" s="265"/>
    </row>
    <row r="3400" spans="1:20">
      <c r="A3400" s="285" t="s">
        <v>75</v>
      </c>
      <c r="B3400" s="273">
        <f t="shared" ref="B3400:J3400" si="637">B$2942*$B$3381*$I$396/B$434*(1-B$2929)*B3346/(24*$F$14)*100</f>
        <v>0</v>
      </c>
      <c r="C3400" s="273">
        <f t="shared" si="637"/>
        <v>0.16843029737753509</v>
      </c>
      <c r="D3400" s="273">
        <f t="shared" si="637"/>
        <v>7.8725924882622721E-3</v>
      </c>
      <c r="E3400" s="273">
        <f t="shared" si="637"/>
        <v>1.9874335917797931E-2</v>
      </c>
      <c r="F3400" s="273">
        <f t="shared" si="637"/>
        <v>0</v>
      </c>
      <c r="G3400" s="273">
        <f t="shared" si="637"/>
        <v>0</v>
      </c>
      <c r="H3400" s="273">
        <f t="shared" si="637"/>
        <v>0</v>
      </c>
      <c r="I3400" s="273">
        <f t="shared" si="637"/>
        <v>0</v>
      </c>
      <c r="J3400" s="273">
        <f t="shared" si="637"/>
        <v>0</v>
      </c>
      <c r="K3400" s="273">
        <f t="shared" ref="K3400:S3400" si="638">K$2942*$B$3381*$I$396/B$434*(1-K$2929)*B3346/(24*$F$14)*100</f>
        <v>5.1230263425240889E-2</v>
      </c>
      <c r="L3400" s="273">
        <f t="shared" si="638"/>
        <v>0.11092173679351162</v>
      </c>
      <c r="M3400" s="273">
        <f t="shared" si="638"/>
        <v>1.5710871526265244E-2</v>
      </c>
      <c r="N3400" s="273">
        <f t="shared" si="638"/>
        <v>3.966204763423288E-2</v>
      </c>
      <c r="O3400" s="273">
        <f t="shared" si="638"/>
        <v>3.9862190271135911E-2</v>
      </c>
      <c r="P3400" s="273">
        <f t="shared" si="638"/>
        <v>0</v>
      </c>
      <c r="Q3400" s="273">
        <f t="shared" si="638"/>
        <v>0.14196549601208866</v>
      </c>
      <c r="R3400" s="273">
        <f t="shared" si="638"/>
        <v>0</v>
      </c>
      <c r="S3400" s="273">
        <f t="shared" si="638"/>
        <v>0</v>
      </c>
      <c r="T3400" s="265"/>
    </row>
    <row r="3402" spans="1:20" ht="21" customHeight="1">
      <c r="A3402" s="1" t="s">
        <v>694</v>
      </c>
    </row>
    <row r="3403" spans="1:20">
      <c r="A3403" s="264" t="s">
        <v>217</v>
      </c>
    </row>
    <row r="3404" spans="1:20">
      <c r="A3404" s="269" t="s">
        <v>695</v>
      </c>
    </row>
    <row r="3405" spans="1:20">
      <c r="A3405" s="269" t="s">
        <v>683</v>
      </c>
    </row>
    <row r="3406" spans="1:20">
      <c r="A3406" s="269" t="s">
        <v>679</v>
      </c>
    </row>
    <row r="3407" spans="1:20">
      <c r="A3407" s="264" t="s">
        <v>684</v>
      </c>
    </row>
    <row r="3409" spans="1:20" ht="30">
      <c r="B3409" s="284" t="s">
        <v>22</v>
      </c>
      <c r="C3409" s="284" t="s">
        <v>182</v>
      </c>
      <c r="D3409" s="284" t="s">
        <v>183</v>
      </c>
      <c r="E3409" s="284" t="s">
        <v>184</v>
      </c>
      <c r="F3409" s="284" t="s">
        <v>185</v>
      </c>
      <c r="G3409" s="284" t="s">
        <v>186</v>
      </c>
      <c r="H3409" s="284" t="s">
        <v>187</v>
      </c>
      <c r="I3409" s="284" t="s">
        <v>188</v>
      </c>
      <c r="J3409" s="284" t="s">
        <v>189</v>
      </c>
      <c r="K3409" s="284" t="s">
        <v>170</v>
      </c>
      <c r="L3409" s="284" t="s">
        <v>567</v>
      </c>
      <c r="M3409" s="284" t="s">
        <v>568</v>
      </c>
      <c r="N3409" s="284" t="s">
        <v>569</v>
      </c>
      <c r="O3409" s="284" t="s">
        <v>570</v>
      </c>
      <c r="P3409" s="284" t="s">
        <v>571</v>
      </c>
      <c r="Q3409" s="284" t="s">
        <v>572</v>
      </c>
      <c r="R3409" s="284" t="s">
        <v>573</v>
      </c>
      <c r="S3409" s="284" t="s">
        <v>574</v>
      </c>
    </row>
    <row r="3410" spans="1:20">
      <c r="A3410" s="285" t="s">
        <v>63</v>
      </c>
      <c r="B3410" s="273">
        <f t="shared" ref="B3410:J3415" si="639">B3395*B$350*$E$14</f>
        <v>0</v>
      </c>
      <c r="C3410" s="273">
        <f t="shared" si="639"/>
        <v>3.1561215888711726E-2</v>
      </c>
      <c r="D3410" s="273">
        <f t="shared" si="639"/>
        <v>4.4703069242716421E-3</v>
      </c>
      <c r="E3410" s="273">
        <f t="shared" si="639"/>
        <v>1.1285276305244578E-2</v>
      </c>
      <c r="F3410" s="273">
        <f t="shared" si="639"/>
        <v>2.1550225732976927E-3</v>
      </c>
      <c r="G3410" s="273">
        <f t="shared" si="639"/>
        <v>0</v>
      </c>
      <c r="H3410" s="273">
        <f t="shared" si="639"/>
        <v>7.6749131559131576E-3</v>
      </c>
      <c r="I3410" s="273">
        <f t="shared" si="639"/>
        <v>8.6068663266700672E-4</v>
      </c>
      <c r="J3410" s="273">
        <f t="shared" si="639"/>
        <v>1.8485276276334959E-3</v>
      </c>
      <c r="K3410" s="273">
        <f t="shared" ref="K3410:S3415" si="640">K3395*B$350*$E$14</f>
        <v>9.5997538992367622E-3</v>
      </c>
      <c r="L3410" s="273">
        <f t="shared" si="640"/>
        <v>2.0785006831899194E-2</v>
      </c>
      <c r="M3410" s="273">
        <f t="shared" si="640"/>
        <v>2.9439727635748245E-3</v>
      </c>
      <c r="N3410" s="273">
        <f t="shared" si="640"/>
        <v>7.432050334546002E-3</v>
      </c>
      <c r="O3410" s="273">
        <f t="shared" si="640"/>
        <v>7.4695539492173795E-3</v>
      </c>
      <c r="P3410" s="273">
        <f t="shared" si="640"/>
        <v>0</v>
      </c>
      <c r="Q3410" s="273">
        <f t="shared" si="640"/>
        <v>2.6602124072383129E-2</v>
      </c>
      <c r="R3410" s="273">
        <f t="shared" si="640"/>
        <v>1.1336304408035427E-2</v>
      </c>
      <c r="S3410" s="273">
        <f t="shared" si="640"/>
        <v>2.4347388582743778E-2</v>
      </c>
      <c r="T3410" s="265"/>
    </row>
    <row r="3411" spans="1:20">
      <c r="A3411" s="285" t="s">
        <v>64</v>
      </c>
      <c r="B3411" s="273">
        <f t="shared" si="639"/>
        <v>0</v>
      </c>
      <c r="C3411" s="273">
        <f t="shared" si="639"/>
        <v>3.1561215888711726E-2</v>
      </c>
      <c r="D3411" s="273">
        <f t="shared" si="639"/>
        <v>4.4703069242716421E-3</v>
      </c>
      <c r="E3411" s="273">
        <f t="shared" si="639"/>
        <v>1.1285276305244578E-2</v>
      </c>
      <c r="F3411" s="273">
        <f t="shared" si="639"/>
        <v>2.1550225732976927E-3</v>
      </c>
      <c r="G3411" s="273">
        <f t="shared" si="639"/>
        <v>0</v>
      </c>
      <c r="H3411" s="273">
        <f t="shared" si="639"/>
        <v>7.6749131559131576E-3</v>
      </c>
      <c r="I3411" s="273">
        <f t="shared" si="639"/>
        <v>8.6068663266700672E-4</v>
      </c>
      <c r="J3411" s="273">
        <f t="shared" si="639"/>
        <v>1.8485276276334959E-3</v>
      </c>
      <c r="K3411" s="273">
        <f t="shared" si="640"/>
        <v>9.5997538992367622E-3</v>
      </c>
      <c r="L3411" s="273">
        <f t="shared" si="640"/>
        <v>2.0785006831899194E-2</v>
      </c>
      <c r="M3411" s="273">
        <f t="shared" si="640"/>
        <v>2.9439727635748245E-3</v>
      </c>
      <c r="N3411" s="273">
        <f t="shared" si="640"/>
        <v>7.432050334546002E-3</v>
      </c>
      <c r="O3411" s="273">
        <f t="shared" si="640"/>
        <v>7.4695539492173795E-3</v>
      </c>
      <c r="P3411" s="273">
        <f t="shared" si="640"/>
        <v>0</v>
      </c>
      <c r="Q3411" s="273">
        <f t="shared" si="640"/>
        <v>2.6602124072383129E-2</v>
      </c>
      <c r="R3411" s="273">
        <f t="shared" si="640"/>
        <v>1.1336304408035427E-2</v>
      </c>
      <c r="S3411" s="273">
        <f t="shared" si="640"/>
        <v>2.4347388582743778E-2</v>
      </c>
      <c r="T3411" s="265"/>
    </row>
    <row r="3412" spans="1:20">
      <c r="A3412" s="285" t="s">
        <v>65</v>
      </c>
      <c r="B3412" s="273">
        <f t="shared" si="639"/>
        <v>0</v>
      </c>
      <c r="C3412" s="273">
        <f t="shared" si="639"/>
        <v>3.1174873321335783E-2</v>
      </c>
      <c r="D3412" s="273">
        <f t="shared" si="639"/>
        <v>4.4155856530705764E-3</v>
      </c>
      <c r="E3412" s="273">
        <f t="shared" si="639"/>
        <v>1.114713262165872E-2</v>
      </c>
      <c r="F3412" s="273">
        <f t="shared" si="639"/>
        <v>2.1286428242836899E-3</v>
      </c>
      <c r="G3412" s="273">
        <f t="shared" si="639"/>
        <v>0</v>
      </c>
      <c r="H3412" s="273">
        <f t="shared" si="639"/>
        <v>7.5809641248144079E-3</v>
      </c>
      <c r="I3412" s="273">
        <f t="shared" si="639"/>
        <v>8.5015092059104506E-4</v>
      </c>
      <c r="J3412" s="273">
        <f t="shared" si="639"/>
        <v>0</v>
      </c>
      <c r="K3412" s="273">
        <f t="shared" si="640"/>
        <v>9.4822427874758624E-3</v>
      </c>
      <c r="L3412" s="273">
        <f t="shared" si="640"/>
        <v>2.0530576428118879E-2</v>
      </c>
      <c r="M3412" s="273">
        <f t="shared" si="640"/>
        <v>2.9079354321939642E-3</v>
      </c>
      <c r="N3412" s="273">
        <f t="shared" si="640"/>
        <v>7.3410742005073039E-3</v>
      </c>
      <c r="O3412" s="273">
        <f t="shared" si="640"/>
        <v>7.3781187313832685E-3</v>
      </c>
      <c r="P3412" s="273">
        <f t="shared" si="640"/>
        <v>0</v>
      </c>
      <c r="Q3412" s="273">
        <f t="shared" si="640"/>
        <v>2.6276486018766382E-2</v>
      </c>
      <c r="R3412" s="273">
        <f t="shared" si="640"/>
        <v>1.1197536086656459E-2</v>
      </c>
      <c r="S3412" s="273">
        <f t="shared" si="640"/>
        <v>0</v>
      </c>
      <c r="T3412" s="265"/>
    </row>
    <row r="3413" spans="1:20">
      <c r="A3413" s="285" t="s">
        <v>66</v>
      </c>
      <c r="B3413" s="273">
        <f t="shared" si="639"/>
        <v>0</v>
      </c>
      <c r="C3413" s="273">
        <f t="shared" si="639"/>
        <v>3.1174873321335783E-2</v>
      </c>
      <c r="D3413" s="273">
        <f t="shared" si="639"/>
        <v>4.4155856530705764E-3</v>
      </c>
      <c r="E3413" s="273">
        <f t="shared" si="639"/>
        <v>1.114713262165872E-2</v>
      </c>
      <c r="F3413" s="273">
        <f t="shared" si="639"/>
        <v>2.1286428242836899E-3</v>
      </c>
      <c r="G3413" s="273">
        <f t="shared" si="639"/>
        <v>0</v>
      </c>
      <c r="H3413" s="273">
        <f t="shared" si="639"/>
        <v>7.5809641248144079E-3</v>
      </c>
      <c r="I3413" s="273">
        <f t="shared" si="639"/>
        <v>8.5015092059104506E-4</v>
      </c>
      <c r="J3413" s="273">
        <f t="shared" si="639"/>
        <v>0</v>
      </c>
      <c r="K3413" s="273">
        <f t="shared" si="640"/>
        <v>9.4822427874758624E-3</v>
      </c>
      <c r="L3413" s="273">
        <f t="shared" si="640"/>
        <v>2.0530576428118879E-2</v>
      </c>
      <c r="M3413" s="273">
        <f t="shared" si="640"/>
        <v>2.9079354321939642E-3</v>
      </c>
      <c r="N3413" s="273">
        <f t="shared" si="640"/>
        <v>7.3410742005073039E-3</v>
      </c>
      <c r="O3413" s="273">
        <f t="shared" si="640"/>
        <v>7.3781187313832685E-3</v>
      </c>
      <c r="P3413" s="273">
        <f t="shared" si="640"/>
        <v>0</v>
      </c>
      <c r="Q3413" s="273">
        <f t="shared" si="640"/>
        <v>2.6276486018766382E-2</v>
      </c>
      <c r="R3413" s="273">
        <f t="shared" si="640"/>
        <v>1.1197536086656459E-2</v>
      </c>
      <c r="S3413" s="273">
        <f t="shared" si="640"/>
        <v>0</v>
      </c>
      <c r="T3413" s="265"/>
    </row>
    <row r="3414" spans="1:20">
      <c r="A3414" s="285" t="s">
        <v>74</v>
      </c>
      <c r="B3414" s="273">
        <f t="shared" si="639"/>
        <v>0</v>
      </c>
      <c r="C3414" s="273">
        <f t="shared" si="639"/>
        <v>3.0847968072017683E-2</v>
      </c>
      <c r="D3414" s="273">
        <f t="shared" si="639"/>
        <v>1.4418634028625311E-3</v>
      </c>
      <c r="E3414" s="273">
        <f t="shared" si="639"/>
        <v>3.6399797981153275E-3</v>
      </c>
      <c r="F3414" s="273">
        <f t="shared" si="639"/>
        <v>0</v>
      </c>
      <c r="G3414" s="273">
        <f t="shared" si="639"/>
        <v>0</v>
      </c>
      <c r="H3414" s="273">
        <f t="shared" si="639"/>
        <v>0</v>
      </c>
      <c r="I3414" s="273">
        <f t="shared" si="639"/>
        <v>0</v>
      </c>
      <c r="J3414" s="273">
        <f t="shared" si="639"/>
        <v>0</v>
      </c>
      <c r="K3414" s="273">
        <f t="shared" si="640"/>
        <v>9.3828103082935592E-3</v>
      </c>
      <c r="L3414" s="273">
        <f t="shared" si="640"/>
        <v>2.0315289163381697E-2</v>
      </c>
      <c r="M3414" s="273">
        <f t="shared" si="640"/>
        <v>2.8774423056409293E-3</v>
      </c>
      <c r="N3414" s="273">
        <f t="shared" si="640"/>
        <v>7.2640943947822507E-3</v>
      </c>
      <c r="O3414" s="273">
        <f t="shared" si="640"/>
        <v>7.3007504701390214E-3</v>
      </c>
      <c r="P3414" s="273">
        <f t="shared" si="640"/>
        <v>0</v>
      </c>
      <c r="Q3414" s="273">
        <f t="shared" si="640"/>
        <v>2.6000946127244524E-2</v>
      </c>
      <c r="R3414" s="273">
        <f t="shared" si="640"/>
        <v>0</v>
      </c>
      <c r="S3414" s="273">
        <f t="shared" si="640"/>
        <v>0</v>
      </c>
      <c r="T3414" s="265"/>
    </row>
    <row r="3415" spans="1:20">
      <c r="A3415" s="285" t="s">
        <v>75</v>
      </c>
      <c r="B3415" s="273">
        <f t="shared" si="639"/>
        <v>0</v>
      </c>
      <c r="C3415" s="273">
        <f t="shared" si="639"/>
        <v>3.0847968072017683E-2</v>
      </c>
      <c r="D3415" s="273">
        <f t="shared" si="639"/>
        <v>1.4418634028625311E-3</v>
      </c>
      <c r="E3415" s="273">
        <f t="shared" si="639"/>
        <v>3.6399797981153275E-3</v>
      </c>
      <c r="F3415" s="273">
        <f t="shared" si="639"/>
        <v>0</v>
      </c>
      <c r="G3415" s="273">
        <f t="shared" si="639"/>
        <v>0</v>
      </c>
      <c r="H3415" s="273">
        <f t="shared" si="639"/>
        <v>0</v>
      </c>
      <c r="I3415" s="273">
        <f t="shared" si="639"/>
        <v>0</v>
      </c>
      <c r="J3415" s="273">
        <f t="shared" si="639"/>
        <v>0</v>
      </c>
      <c r="K3415" s="273">
        <f t="shared" si="640"/>
        <v>9.3828103082935592E-3</v>
      </c>
      <c r="L3415" s="273">
        <f t="shared" si="640"/>
        <v>2.0315289163381697E-2</v>
      </c>
      <c r="M3415" s="273">
        <f t="shared" si="640"/>
        <v>2.8774423056409293E-3</v>
      </c>
      <c r="N3415" s="273">
        <f t="shared" si="640"/>
        <v>7.2640943947822507E-3</v>
      </c>
      <c r="O3415" s="273">
        <f t="shared" si="640"/>
        <v>7.3007504701390214E-3</v>
      </c>
      <c r="P3415" s="273">
        <f t="shared" si="640"/>
        <v>0</v>
      </c>
      <c r="Q3415" s="273">
        <f t="shared" si="640"/>
        <v>2.6000946127244524E-2</v>
      </c>
      <c r="R3415" s="273">
        <f t="shared" si="640"/>
        <v>0</v>
      </c>
      <c r="S3415" s="273">
        <f t="shared" si="640"/>
        <v>0</v>
      </c>
      <c r="T3415" s="265"/>
    </row>
    <row r="3417" spans="1:20" ht="21" customHeight="1">
      <c r="A3417" s="1" t="str">
        <f>"Aggregation for "&amp;CDCM!B7&amp;" in "&amp;CDCM!C7&amp;" ("&amp;CDCM!D7&amp;")"</f>
        <v>Aggregation for 0 in 0 (0)</v>
      </c>
    </row>
    <row r="3418" spans="1:20">
      <c r="A3418" s="264" t="s">
        <v>696</v>
      </c>
    </row>
    <row r="3420" spans="1:20" ht="21" customHeight="1">
      <c r="A3420" s="1" t="s">
        <v>697</v>
      </c>
    </row>
    <row r="3421" spans="1:20">
      <c r="A3421" s="264" t="s">
        <v>217</v>
      </c>
    </row>
    <row r="3422" spans="1:20">
      <c r="A3422" s="269" t="s">
        <v>1137</v>
      </c>
    </row>
    <row r="3423" spans="1:20">
      <c r="A3423" s="269" t="s">
        <v>1189</v>
      </c>
    </row>
    <row r="3424" spans="1:20">
      <c r="A3424" s="269" t="s">
        <v>1188</v>
      </c>
    </row>
    <row r="3425" spans="1:24">
      <c r="A3425" s="269" t="s">
        <v>1187</v>
      </c>
    </row>
    <row r="3426" spans="1:24">
      <c r="A3426" s="269" t="s">
        <v>1380</v>
      </c>
    </row>
    <row r="3427" spans="1:24">
      <c r="A3427" s="269" t="s">
        <v>1186</v>
      </c>
    </row>
    <row r="3428" spans="1:24">
      <c r="A3428" s="264" t="s">
        <v>249</v>
      </c>
    </row>
    <row r="3430" spans="1:24" ht="30">
      <c r="B3430" s="284" t="s">
        <v>22</v>
      </c>
      <c r="C3430" s="284" t="s">
        <v>182</v>
      </c>
      <c r="D3430" s="284" t="s">
        <v>183</v>
      </c>
      <c r="E3430" s="284" t="s">
        <v>184</v>
      </c>
      <c r="F3430" s="284" t="s">
        <v>185</v>
      </c>
      <c r="G3430" s="284" t="s">
        <v>186</v>
      </c>
      <c r="H3430" s="284" t="s">
        <v>187</v>
      </c>
      <c r="I3430" s="284" t="s">
        <v>188</v>
      </c>
      <c r="J3430" s="284" t="s">
        <v>189</v>
      </c>
      <c r="K3430" s="284" t="s">
        <v>326</v>
      </c>
      <c r="L3430" s="284" t="s">
        <v>333</v>
      </c>
      <c r="M3430" s="284" t="s">
        <v>170</v>
      </c>
      <c r="N3430" s="284" t="s">
        <v>567</v>
      </c>
      <c r="O3430" s="284" t="s">
        <v>568</v>
      </c>
      <c r="P3430" s="284" t="s">
        <v>569</v>
      </c>
      <c r="Q3430" s="284" t="s">
        <v>570</v>
      </c>
      <c r="R3430" s="284" t="s">
        <v>571</v>
      </c>
      <c r="S3430" s="284" t="s">
        <v>572</v>
      </c>
      <c r="T3430" s="284" t="s">
        <v>573</v>
      </c>
      <c r="U3430" s="284" t="s">
        <v>574</v>
      </c>
      <c r="V3430" s="284" t="s">
        <v>575</v>
      </c>
      <c r="W3430" s="284" t="s">
        <v>576</v>
      </c>
    </row>
    <row r="3431" spans="1:24">
      <c r="A3431" s="285" t="s">
        <v>54</v>
      </c>
      <c r="B3431" s="274">
        <f>$B$3153</f>
        <v>0</v>
      </c>
      <c r="C3431" s="274">
        <f>$C$3153</f>
        <v>0.35943043293308596</v>
      </c>
      <c r="D3431" s="274">
        <f>$D$3153</f>
        <v>5.0909456682542056E-2</v>
      </c>
      <c r="E3431" s="274">
        <f>$E$3153</f>
        <v>0.12096639364132218</v>
      </c>
      <c r="F3431" s="274">
        <f>$F$3153</f>
        <v>2.3099594715843694E-2</v>
      </c>
      <c r="G3431" s="274">
        <f>$G$3153</f>
        <v>0</v>
      </c>
      <c r="H3431" s="274">
        <f>$H$3153</f>
        <v>8.226706558790213E-2</v>
      </c>
      <c r="I3431" s="274">
        <f>$I$3153</f>
        <v>9.2256631732301041E-3</v>
      </c>
      <c r="J3431" s="274">
        <f>$J$3153</f>
        <v>0</v>
      </c>
      <c r="K3431" s="291"/>
      <c r="L3431" s="291"/>
      <c r="M3431" s="274">
        <f>$K$3153</f>
        <v>0.11489029765703959</v>
      </c>
      <c r="N3431" s="274">
        <f>$L$3153</f>
        <v>0.23670710375827725</v>
      </c>
      <c r="O3431" s="274">
        <f>$M$3153</f>
        <v>3.3527016471294267E-2</v>
      </c>
      <c r="P3431" s="274">
        <f>$N$3153</f>
        <v>7.9663829401590169E-2</v>
      </c>
      <c r="Q3431" s="274">
        <f>$O$3153</f>
        <v>8.0065829041882711E-2</v>
      </c>
      <c r="R3431" s="274">
        <f>$P$3153</f>
        <v>0</v>
      </c>
      <c r="S3431" s="274">
        <f>$Q$3153</f>
        <v>0.28514702920828922</v>
      </c>
      <c r="T3431" s="274">
        <f>$R$3153</f>
        <v>0.12151336169084165</v>
      </c>
      <c r="U3431" s="274">
        <f>$S$3153</f>
        <v>0</v>
      </c>
      <c r="V3431" s="291"/>
      <c r="W3431" s="291"/>
      <c r="X3431" s="265"/>
    </row>
    <row r="3432" spans="1:24">
      <c r="A3432" s="285" t="s">
        <v>55</v>
      </c>
      <c r="B3432" s="274">
        <f>$B$3154</f>
        <v>0</v>
      </c>
      <c r="C3432" s="274">
        <f>$C$3154</f>
        <v>0.44822645013097662</v>
      </c>
      <c r="D3432" s="274">
        <f>$D$3154</f>
        <v>6.3486457895903042E-2</v>
      </c>
      <c r="E3432" s="274">
        <f>$E$3154</f>
        <v>0.14887244058183499</v>
      </c>
      <c r="F3432" s="274">
        <f>$F$3154</f>
        <v>2.8428499340036394E-2</v>
      </c>
      <c r="G3432" s="274">
        <f>$G$3154</f>
        <v>0</v>
      </c>
      <c r="H3432" s="274">
        <f>$H$3154</f>
        <v>0.10124546549590775</v>
      </c>
      <c r="I3432" s="274">
        <f>$I$3154</f>
        <v>1.1353955022062852E-2</v>
      </c>
      <c r="J3432" s="274">
        <f>$J$3154</f>
        <v>0</v>
      </c>
      <c r="K3432" s="291"/>
      <c r="L3432" s="291"/>
      <c r="M3432" s="274">
        <f>$K$3154</f>
        <v>0.14561995537414368</v>
      </c>
      <c r="N3432" s="274">
        <f>$L$3154</f>
        <v>0.2951847565398264</v>
      </c>
      <c r="O3432" s="274">
        <f>$M$3154</f>
        <v>4.1809747309874204E-2</v>
      </c>
      <c r="P3432" s="274">
        <f>$N$3154</f>
        <v>9.8041682091267832E-2</v>
      </c>
      <c r="Q3432" s="274">
        <f>$O$3154</f>
        <v>9.8536420057424148E-2</v>
      </c>
      <c r="R3432" s="274">
        <f>$P$3154</f>
        <v>0</v>
      </c>
      <c r="S3432" s="274">
        <f>$Q$3154</f>
        <v>0.35092832715810318</v>
      </c>
      <c r="T3432" s="274">
        <f>$R$3154</f>
        <v>0.14954559009056295</v>
      </c>
      <c r="U3432" s="274">
        <f>$S$3154</f>
        <v>0</v>
      </c>
      <c r="V3432" s="291"/>
      <c r="W3432" s="291"/>
      <c r="X3432" s="265"/>
    </row>
    <row r="3433" spans="1:24">
      <c r="A3433" s="285" t="s">
        <v>91</v>
      </c>
      <c r="B3433" s="274">
        <f>$B$3155</f>
        <v>0</v>
      </c>
      <c r="C3433" s="274">
        <f>$C$3155</f>
        <v>2.5975692799002911E-2</v>
      </c>
      <c r="D3433" s="274">
        <f>$D$3155</f>
        <v>3.6791776271099643E-3</v>
      </c>
      <c r="E3433" s="274">
        <f>$E$3155</f>
        <v>1.4859288221533143E-2</v>
      </c>
      <c r="F3433" s="274">
        <f>$F$3155</f>
        <v>2.8375115215972945E-3</v>
      </c>
      <c r="G3433" s="274">
        <f>$G$3155</f>
        <v>0</v>
      </c>
      <c r="H3433" s="274">
        <f>$H$3155</f>
        <v>1.0105534288597867E-2</v>
      </c>
      <c r="I3433" s="274">
        <f>$I$3155</f>
        <v>1.1332634130788971E-3</v>
      </c>
      <c r="J3433" s="274">
        <f>$J$3155</f>
        <v>0</v>
      </c>
      <c r="K3433" s="291"/>
      <c r="L3433" s="291"/>
      <c r="M3433" s="274">
        <f>$K$3155</f>
        <v>1.1846029458839251E-3</v>
      </c>
      <c r="N3433" s="274">
        <f>$L$3155</f>
        <v>1.7106595455458801E-2</v>
      </c>
      <c r="O3433" s="274">
        <f>$M$3155</f>
        <v>2.4229653377391691E-3</v>
      </c>
      <c r="P3433" s="274">
        <f>$N$3155</f>
        <v>9.785757566842971E-3</v>
      </c>
      <c r="Q3433" s="274">
        <f>$O$3155</f>
        <v>9.8351384596698822E-3</v>
      </c>
      <c r="R3433" s="274">
        <f>$P$3155</f>
        <v>0</v>
      </c>
      <c r="S3433" s="274">
        <f>$Q$3155</f>
        <v>3.5026934051479476E-2</v>
      </c>
      <c r="T3433" s="274">
        <f>$R$3155</f>
        <v>1.4926476765814939E-2</v>
      </c>
      <c r="U3433" s="274">
        <f>$S$3155</f>
        <v>0</v>
      </c>
      <c r="V3433" s="291"/>
      <c r="W3433" s="291"/>
      <c r="X3433" s="265"/>
    </row>
    <row r="3434" spans="1:24">
      <c r="A3434" s="285" t="s">
        <v>56</v>
      </c>
      <c r="B3434" s="274">
        <f>$B$3156</f>
        <v>0</v>
      </c>
      <c r="C3434" s="274">
        <f>$C$3156</f>
        <v>0.28030073497242936</v>
      </c>
      <c r="D3434" s="274">
        <f>$D$3156</f>
        <v>3.9701585669069339E-2</v>
      </c>
      <c r="E3434" s="274">
        <f>$E$3156</f>
        <v>0.10757158531617356</v>
      </c>
      <c r="F3434" s="274">
        <f>$F$3156</f>
        <v>2.0541738485750662E-2</v>
      </c>
      <c r="G3434" s="274">
        <f>$G$3156</f>
        <v>0</v>
      </c>
      <c r="H3434" s="274">
        <f>$H$3156</f>
        <v>7.3157497700065618E-2</v>
      </c>
      <c r="I3434" s="274">
        <f>$I$3156</f>
        <v>8.2040902705591764E-3</v>
      </c>
      <c r="J3434" s="274">
        <f>$J$3156</f>
        <v>0</v>
      </c>
      <c r="K3434" s="291"/>
      <c r="L3434" s="291"/>
      <c r="M3434" s="274">
        <f>$K$3156</f>
        <v>8.4386711264990311E-2</v>
      </c>
      <c r="N3434" s="274">
        <f>$L$3156</f>
        <v>0.18459531825173031</v>
      </c>
      <c r="O3434" s="274">
        <f>$M$3156</f>
        <v>2.6145942294446892E-2</v>
      </c>
      <c r="P3434" s="274">
        <f>$N$3156</f>
        <v>7.084252215120089E-2</v>
      </c>
      <c r="Q3434" s="274">
        <f>$O$3156</f>
        <v>7.1200007708148425E-2</v>
      </c>
      <c r="R3434" s="274">
        <f>$P$3156</f>
        <v>0</v>
      </c>
      <c r="S3434" s="274">
        <f>$Q$3156</f>
        <v>0.25357222825939285</v>
      </c>
      <c r="T3434" s="274">
        <f>$R$3156</f>
        <v>0.10805798669124114</v>
      </c>
      <c r="U3434" s="274">
        <f>$S$3156</f>
        <v>0</v>
      </c>
      <c r="V3434" s="291"/>
      <c r="W3434" s="291"/>
      <c r="X3434" s="265"/>
    </row>
    <row r="3435" spans="1:24">
      <c r="A3435" s="285" t="s">
        <v>57</v>
      </c>
      <c r="B3435" s="274">
        <f>$B$3157</f>
        <v>0</v>
      </c>
      <c r="C3435" s="274">
        <f>$C$3157</f>
        <v>0.33531619624538789</v>
      </c>
      <c r="D3435" s="274">
        <f>$D$3157</f>
        <v>4.7493934301571408E-2</v>
      </c>
      <c r="E3435" s="274">
        <f>$E$3157</f>
        <v>0.12311327802892948</v>
      </c>
      <c r="F3435" s="274">
        <f>$F$3157</f>
        <v>2.3509561135133226E-2</v>
      </c>
      <c r="G3435" s="274">
        <f>$G$3157</f>
        <v>0</v>
      </c>
      <c r="H3435" s="274">
        <f>$H$3157</f>
        <v>8.3727122992346387E-2</v>
      </c>
      <c r="I3435" s="274">
        <f>$I$3157</f>
        <v>9.3893981713210548E-3</v>
      </c>
      <c r="J3435" s="274">
        <f>$J$3157</f>
        <v>0</v>
      </c>
      <c r="K3435" s="291"/>
      <c r="L3435" s="291"/>
      <c r="M3435" s="274">
        <f>$K$3157</f>
        <v>0.10450061364006147</v>
      </c>
      <c r="N3435" s="274">
        <f>$L$3157</f>
        <v>0.22082639193566639</v>
      </c>
      <c r="O3435" s="274">
        <f>$M$3157</f>
        <v>3.1277684370994194E-2</v>
      </c>
      <c r="P3435" s="274">
        <f>$N$3157</f>
        <v>8.107768515483682E-2</v>
      </c>
      <c r="Q3435" s="274">
        <f>$O$3157</f>
        <v>8.1486819394463866E-2</v>
      </c>
      <c r="R3435" s="274">
        <f>$P$3157</f>
        <v>0</v>
      </c>
      <c r="S3435" s="274">
        <f>$Q$3157</f>
        <v>0.2902077546441077</v>
      </c>
      <c r="T3435" s="274">
        <f>$R$3157</f>
        <v>0.12366995354455323</v>
      </c>
      <c r="U3435" s="274">
        <f>$S$3157</f>
        <v>0</v>
      </c>
      <c r="V3435" s="291"/>
      <c r="W3435" s="291"/>
      <c r="X3435" s="265"/>
    </row>
    <row r="3436" spans="1:24">
      <c r="A3436" s="285" t="s">
        <v>92</v>
      </c>
      <c r="B3436" s="274">
        <f>$B$3158</f>
        <v>0</v>
      </c>
      <c r="C3436" s="274">
        <f>$C$3158</f>
        <v>2.7777685060220429E-2</v>
      </c>
      <c r="D3436" s="274">
        <f>$D$3158</f>
        <v>3.9344104581646687E-3</v>
      </c>
      <c r="E3436" s="274">
        <f>$E$3158</f>
        <v>1.5568435486586638E-2</v>
      </c>
      <c r="F3436" s="274">
        <f>$F$3158</f>
        <v>2.9729294167951635E-3</v>
      </c>
      <c r="G3436" s="274">
        <f>$G$3158</f>
        <v>0</v>
      </c>
      <c r="H3436" s="274">
        <f>$H$3158</f>
        <v>1.0587812571098544E-2</v>
      </c>
      <c r="I3436" s="274">
        <f>$I$3158</f>
        <v>1.1873474740371796E-3</v>
      </c>
      <c r="J3436" s="274">
        <f>$J$3158</f>
        <v>0</v>
      </c>
      <c r="K3436" s="291"/>
      <c r="L3436" s="291"/>
      <c r="M3436" s="274">
        <f>$K$3158</f>
        <v>1.8415342915939794E-3</v>
      </c>
      <c r="N3436" s="274">
        <f>$L$3158</f>
        <v>1.8293318476286131E-2</v>
      </c>
      <c r="O3436" s="274">
        <f>$M$3158</f>
        <v>2.5910518954910329E-3</v>
      </c>
      <c r="P3436" s="274">
        <f>$N$3158</f>
        <v>1.0252774769251559E-2</v>
      </c>
      <c r="Q3436" s="274">
        <f>$O$3158</f>
        <v>1.0304512324428104E-2</v>
      </c>
      <c r="R3436" s="274">
        <f>$P$3158</f>
        <v>0</v>
      </c>
      <c r="S3436" s="274">
        <f>$Q$3158</f>
        <v>3.6698565566764339E-2</v>
      </c>
      <c r="T3436" s="274">
        <f>$R$3158</f>
        <v>1.5638830548684767E-2</v>
      </c>
      <c r="U3436" s="274">
        <f>$S$3158</f>
        <v>0</v>
      </c>
      <c r="V3436" s="291"/>
      <c r="W3436" s="291"/>
      <c r="X3436" s="265"/>
    </row>
    <row r="3437" spans="1:24">
      <c r="A3437" s="285" t="s">
        <v>58</v>
      </c>
      <c r="B3437" s="274">
        <f>$B$3159</f>
        <v>0</v>
      </c>
      <c r="C3437" s="274">
        <f>$C$3159</f>
        <v>0.30230307855031369</v>
      </c>
      <c r="D3437" s="274">
        <f>$D$3159</f>
        <v>4.2817981095444498E-2</v>
      </c>
      <c r="E3437" s="274">
        <f>$E$3159</f>
        <v>0.10989085599308042</v>
      </c>
      <c r="F3437" s="274">
        <f>$F$3159</f>
        <v>2.0984623580198813E-2</v>
      </c>
      <c r="G3437" s="274">
        <f>$G$3159</f>
        <v>0</v>
      </c>
      <c r="H3437" s="274">
        <f>$H$3159</f>
        <v>7.4734791915010437E-2</v>
      </c>
      <c r="I3437" s="274">
        <f>$I$3159</f>
        <v>8.380972538671887E-3</v>
      </c>
      <c r="J3437" s="274">
        <f>$J$3159</f>
        <v>0</v>
      </c>
      <c r="K3437" s="291"/>
      <c r="L3437" s="291"/>
      <c r="M3437" s="274">
        <f>$K$3159</f>
        <v>9.4604655684292854E-2</v>
      </c>
      <c r="N3437" s="274">
        <f>$L$3159</f>
        <v>0.19908521823519973</v>
      </c>
      <c r="O3437" s="274">
        <f>$M$3159</f>
        <v>2.819828084998632E-2</v>
      </c>
      <c r="P3437" s="274">
        <f>$N$3159</f>
        <v>7.2369904905861301E-2</v>
      </c>
      <c r="Q3437" s="274">
        <f>$O$3159</f>
        <v>7.2735097942132565E-2</v>
      </c>
      <c r="R3437" s="274">
        <f>$P$3159</f>
        <v>0</v>
      </c>
      <c r="S3437" s="274">
        <f>$Q$3159</f>
        <v>0.25903930984744794</v>
      </c>
      <c r="T3437" s="274">
        <f>$R$3159</f>
        <v>0.11038774430522423</v>
      </c>
      <c r="U3437" s="274">
        <f>$S$3159</f>
        <v>0</v>
      </c>
      <c r="V3437" s="291"/>
      <c r="W3437" s="291"/>
      <c r="X3437" s="265"/>
    </row>
    <row r="3438" spans="1:24">
      <c r="A3438" s="285" t="s">
        <v>59</v>
      </c>
      <c r="B3438" s="274">
        <f>$B$3160</f>
        <v>0</v>
      </c>
      <c r="C3438" s="274">
        <f>$C$3160</f>
        <v>0.29605709140054159</v>
      </c>
      <c r="D3438" s="274">
        <f>$D$3160</f>
        <v>4.193330416465095E-2</v>
      </c>
      <c r="E3438" s="274">
        <f>$E$3160</f>
        <v>0.1079167069273043</v>
      </c>
      <c r="F3438" s="274">
        <f>$F$3160</f>
        <v>2.0607642486893632E-2</v>
      </c>
      <c r="G3438" s="274">
        <f>$G$3160</f>
        <v>0</v>
      </c>
      <c r="H3438" s="274">
        <f>$H$3160</f>
        <v>7.339220869180503E-2</v>
      </c>
      <c r="I3438" s="274">
        <f>$I$3160</f>
        <v>0</v>
      </c>
      <c r="J3438" s="274">
        <f>$J$3160</f>
        <v>0</v>
      </c>
      <c r="K3438" s="291"/>
      <c r="L3438" s="291"/>
      <c r="M3438" s="274">
        <f>$K$3160</f>
        <v>9.2494128578230431E-2</v>
      </c>
      <c r="N3438" s="274">
        <f>$L$3160</f>
        <v>0.19497185054880464</v>
      </c>
      <c r="O3438" s="274">
        <f>$M$3160</f>
        <v>2.7615666538946926E-2</v>
      </c>
      <c r="P3438" s="274">
        <f>$N$3160</f>
        <v>7.1069806013472944E-2</v>
      </c>
      <c r="Q3438" s="274">
        <f>$O$3160</f>
        <v>7.1428438490315771E-2</v>
      </c>
      <c r="R3438" s="274">
        <f>$P$3160</f>
        <v>0</v>
      </c>
      <c r="S3438" s="274">
        <f>$Q$3160</f>
        <v>0.25438576331790919</v>
      </c>
      <c r="T3438" s="274">
        <f>$R$3160</f>
        <v>0</v>
      </c>
      <c r="U3438" s="274">
        <f>$S$3160</f>
        <v>0</v>
      </c>
      <c r="V3438" s="291"/>
      <c r="W3438" s="291"/>
      <c r="X3438" s="265"/>
    </row>
    <row r="3439" spans="1:24">
      <c r="A3439" s="285" t="s">
        <v>72</v>
      </c>
      <c r="B3439" s="274">
        <f>$B$3161</f>
        <v>0</v>
      </c>
      <c r="C3439" s="274">
        <f>$C$3161</f>
        <v>0.30726777417595125</v>
      </c>
      <c r="D3439" s="274">
        <f>$D$3161</f>
        <v>1.4361988362702392E-2</v>
      </c>
      <c r="E3439" s="274">
        <f>$E$3161</f>
        <v>2.9779006235779754E-2</v>
      </c>
      <c r="F3439" s="274">
        <f>$F$3161</f>
        <v>0</v>
      </c>
      <c r="G3439" s="274">
        <f>$G$3161</f>
        <v>0</v>
      </c>
      <c r="H3439" s="274">
        <f>$H$3161</f>
        <v>0</v>
      </c>
      <c r="I3439" s="274">
        <f>$I$3161</f>
        <v>0</v>
      </c>
      <c r="J3439" s="274">
        <f>$J$3161</f>
        <v>0</v>
      </c>
      <c r="K3439" s="291"/>
      <c r="L3439" s="291"/>
      <c r="M3439" s="274">
        <f>$K$3161</f>
        <v>9.5875317601930424E-2</v>
      </c>
      <c r="N3439" s="274">
        <f>$L$3161</f>
        <v>0.20235477644427</v>
      </c>
      <c r="O3439" s="274">
        <f>$M$3161</f>
        <v>2.8661378620137307E-2</v>
      </c>
      <c r="P3439" s="274">
        <f>$N$3161</f>
        <v>5.9428217813603301E-2</v>
      </c>
      <c r="Q3439" s="274">
        <f>$O$3161</f>
        <v>0</v>
      </c>
      <c r="R3439" s="274">
        <f>$P$3161</f>
        <v>0</v>
      </c>
      <c r="S3439" s="274">
        <f>$Q$3161</f>
        <v>0</v>
      </c>
      <c r="T3439" s="274">
        <f>$R$3161</f>
        <v>0</v>
      </c>
      <c r="U3439" s="274">
        <f>$S$3161</f>
        <v>0</v>
      </c>
      <c r="V3439" s="291"/>
      <c r="W3439" s="291"/>
      <c r="X3439" s="265"/>
    </row>
    <row r="3440" spans="1:24">
      <c r="A3440" s="285" t="s">
        <v>1178</v>
      </c>
      <c r="B3440" s="274">
        <f>$B$3162</f>
        <v>0</v>
      </c>
      <c r="C3440" s="274">
        <f>$C$3162</f>
        <v>3.6177148976036433</v>
      </c>
      <c r="D3440" s="274">
        <f>$D$3162</f>
        <v>0.51241042214037369</v>
      </c>
      <c r="E3440" s="274">
        <f>$E$3162</f>
        <v>0.92338590089450956</v>
      </c>
      <c r="F3440" s="274">
        <f>$F$3162</f>
        <v>0.17632864331090631</v>
      </c>
      <c r="G3440" s="274">
        <f>$G$3162</f>
        <v>0</v>
      </c>
      <c r="H3440" s="274">
        <f>$H$3162</f>
        <v>0.62797812008080955</v>
      </c>
      <c r="I3440" s="274">
        <f>$I$3162</f>
        <v>7.042325594843836E-2</v>
      </c>
      <c r="J3440" s="274">
        <f>$J$3162</f>
        <v>0</v>
      </c>
      <c r="K3440" s="291"/>
      <c r="L3440" s="291"/>
      <c r="M3440" s="274">
        <f>$K$3162</f>
        <v>1.3033164131390469</v>
      </c>
      <c r="N3440" s="274">
        <f>$L$3162</f>
        <v>2.3824883403636354</v>
      </c>
      <c r="O3440" s="274">
        <f>$M$3162</f>
        <v>0.33745385990446836</v>
      </c>
      <c r="P3440" s="274">
        <f>$N$3162</f>
        <v>0.60810655477428022</v>
      </c>
      <c r="Q3440" s="274">
        <f>$O$3162</f>
        <v>0.61117518225697987</v>
      </c>
      <c r="R3440" s="274">
        <f>$P$3162</f>
        <v>0</v>
      </c>
      <c r="S3440" s="274">
        <f>$Q$3162</f>
        <v>2.176643764660811</v>
      </c>
      <c r="T3440" s="274">
        <f>$R$3162</f>
        <v>0.92756113146857788</v>
      </c>
      <c r="U3440" s="274">
        <f>$S$3162</f>
        <v>0</v>
      </c>
      <c r="V3440" s="291"/>
      <c r="W3440" s="291"/>
      <c r="X3440" s="265"/>
    </row>
    <row r="3441" spans="1:24">
      <c r="A3441" s="285" t="s">
        <v>1177</v>
      </c>
      <c r="B3441" s="274">
        <f>$B$3163</f>
        <v>0</v>
      </c>
      <c r="C3441" s="274">
        <f>$C$3163</f>
        <v>3.6886217688672533</v>
      </c>
      <c r="D3441" s="274">
        <f>$D$3163</f>
        <v>0.52245361815366542</v>
      </c>
      <c r="E3441" s="274">
        <f>$E$3163</f>
        <v>0.94180852045107455</v>
      </c>
      <c r="F3441" s="274">
        <f>$F$3163</f>
        <v>0.17984660423005749</v>
      </c>
      <c r="G3441" s="274">
        <f>$G$3163</f>
        <v>0</v>
      </c>
      <c r="H3441" s="274">
        <f>$H$3163</f>
        <v>0.64050701183114767</v>
      </c>
      <c r="I3441" s="274">
        <f>$I$3163</f>
        <v>7.1828281573169991E-2</v>
      </c>
      <c r="J3441" s="274">
        <f>$J$3163</f>
        <v>0</v>
      </c>
      <c r="K3441" s="291"/>
      <c r="L3441" s="291"/>
      <c r="M3441" s="274">
        <f>$K$3163</f>
        <v>1.3293357040953808</v>
      </c>
      <c r="N3441" s="274">
        <f>$L$3163</f>
        <v>2.4291848874434283</v>
      </c>
      <c r="O3441" s="274">
        <f>$M$3163</f>
        <v>0.34406792377597573</v>
      </c>
      <c r="P3441" s="274">
        <f>$N$3163</f>
        <v>0.62023898575206282</v>
      </c>
      <c r="Q3441" s="274">
        <f>$O$3163</f>
        <v>0.62336883591167336</v>
      </c>
      <c r="R3441" s="274">
        <f>$P$3163</f>
        <v>0</v>
      </c>
      <c r="S3441" s="274">
        <f>$Q$3163</f>
        <v>2.2200703319797084</v>
      </c>
      <c r="T3441" s="274">
        <f>$R$3163</f>
        <v>0.94606705171703398</v>
      </c>
      <c r="U3441" s="274">
        <f>$S$3163</f>
        <v>0</v>
      </c>
      <c r="V3441" s="291"/>
      <c r="W3441" s="291"/>
      <c r="X3441" s="265"/>
    </row>
    <row r="3442" spans="1:24">
      <c r="A3442" s="285" t="s">
        <v>60</v>
      </c>
      <c r="B3442" s="274">
        <f>$B$3164</f>
        <v>0</v>
      </c>
      <c r="C3442" s="274">
        <f>$C$3164</f>
        <v>2.9116525056041538</v>
      </c>
      <c r="D3442" s="274">
        <f>$D$3164</f>
        <v>0.41240427500546506</v>
      </c>
      <c r="E3442" s="274">
        <f>$E$3164</f>
        <v>0.7432231092291085</v>
      </c>
      <c r="F3442" s="274">
        <f>$F$3164</f>
        <v>0.14192497676294275</v>
      </c>
      <c r="G3442" s="274">
        <f>$G$3164</f>
        <v>0</v>
      </c>
      <c r="H3442" s="274">
        <f>$H$3164</f>
        <v>0.40436212030716734</v>
      </c>
      <c r="I3442" s="274">
        <f>$I$3164</f>
        <v>0</v>
      </c>
      <c r="J3442" s="274">
        <f>$J$3164</f>
        <v>0</v>
      </c>
      <c r="K3442" s="291"/>
      <c r="L3442" s="291"/>
      <c r="M3442" s="274">
        <f>$K$3164</f>
        <v>1.0490365279013563</v>
      </c>
      <c r="N3442" s="274">
        <f>$L$3164</f>
        <v>1.9175027170846113</v>
      </c>
      <c r="O3442" s="274">
        <f>$M$3164</f>
        <v>0.27159364530562474</v>
      </c>
      <c r="P3442" s="274">
        <f>$N$3164</f>
        <v>0.48945824702772345</v>
      </c>
      <c r="Q3442" s="274">
        <f>$O$3164</f>
        <v>0.49192815138358209</v>
      </c>
      <c r="R3442" s="274">
        <f>$P$3164</f>
        <v>0</v>
      </c>
      <c r="S3442" s="274">
        <f>$Q$3164</f>
        <v>1.4015652133204271</v>
      </c>
      <c r="T3442" s="274">
        <f>$R$3164</f>
        <v>0</v>
      </c>
      <c r="U3442" s="274">
        <f>$S$3164</f>
        <v>0</v>
      </c>
      <c r="V3442" s="291"/>
      <c r="W3442" s="291"/>
      <c r="X3442" s="265"/>
    </row>
    <row r="3443" spans="1:24">
      <c r="A3443" s="285" t="s">
        <v>61</v>
      </c>
      <c r="B3443" s="274">
        <f>$B$3165</f>
        <v>0</v>
      </c>
      <c r="C3443" s="274">
        <f>$C$3165</f>
        <v>2.743021471555239</v>
      </c>
      <c r="D3443" s="274">
        <f>$D$3165</f>
        <v>0.38851950194050938</v>
      </c>
      <c r="E3443" s="274">
        <f>$E$3165</f>
        <v>0.70017865897375453</v>
      </c>
      <c r="F3443" s="274">
        <f>$F$3165</f>
        <v>0.13370526113999703</v>
      </c>
      <c r="G3443" s="274">
        <f>$G$3165</f>
        <v>0</v>
      </c>
      <c r="H3443" s="274">
        <f>$H$3165</f>
        <v>0</v>
      </c>
      <c r="I3443" s="274">
        <f>$I$3165</f>
        <v>0</v>
      </c>
      <c r="J3443" s="274">
        <f>$J$3165</f>
        <v>0</v>
      </c>
      <c r="K3443" s="291"/>
      <c r="L3443" s="291"/>
      <c r="M3443" s="274">
        <f>$K$3165</f>
        <v>0.98828061210625229</v>
      </c>
      <c r="N3443" s="274">
        <f>$L$3165</f>
        <v>1.806448782814907</v>
      </c>
      <c r="O3443" s="274">
        <f>$M$3165</f>
        <v>0.25586404942807728</v>
      </c>
      <c r="P3443" s="274">
        <f>$N$3165</f>
        <v>0.46111082227109779</v>
      </c>
      <c r="Q3443" s="274">
        <f>$O$3165</f>
        <v>0.46343767984347906</v>
      </c>
      <c r="R3443" s="274">
        <f>$P$3165</f>
        <v>0</v>
      </c>
      <c r="S3443" s="274">
        <f>$Q$3165</f>
        <v>0</v>
      </c>
      <c r="T3443" s="274">
        <f>$R$3165</f>
        <v>0</v>
      </c>
      <c r="U3443" s="274">
        <f>$S$3165</f>
        <v>0</v>
      </c>
      <c r="V3443" s="291"/>
      <c r="W3443" s="291"/>
      <c r="X3443" s="265"/>
    </row>
    <row r="3444" spans="1:24">
      <c r="A3444" s="285" t="s">
        <v>73</v>
      </c>
      <c r="B3444" s="274">
        <f>$B$3166</f>
        <v>0</v>
      </c>
      <c r="C3444" s="274">
        <f>$C$3166</f>
        <v>2.4938612352087692</v>
      </c>
      <c r="D3444" s="274">
        <f>$D$3166</f>
        <v>0.11656544892909307</v>
      </c>
      <c r="E3444" s="274">
        <f>$E$3166</f>
        <v>0.16805671644527814</v>
      </c>
      <c r="F3444" s="274">
        <f>$F$3166</f>
        <v>0</v>
      </c>
      <c r="G3444" s="274">
        <f>$G$3166</f>
        <v>0</v>
      </c>
      <c r="H3444" s="274">
        <f>$H$3166</f>
        <v>0</v>
      </c>
      <c r="I3444" s="274">
        <f>$I$3166</f>
        <v>0</v>
      </c>
      <c r="J3444" s="274">
        <f>$J$3166</f>
        <v>0</v>
      </c>
      <c r="K3444" s="291"/>
      <c r="L3444" s="291"/>
      <c r="M3444" s="274">
        <f>$K$3166</f>
        <v>0.89851090616610396</v>
      </c>
      <c r="N3444" s="274">
        <f>$L$3166</f>
        <v>1.6423614031347329</v>
      </c>
      <c r="O3444" s="274">
        <f>$M$3166</f>
        <v>0.23262283615681592</v>
      </c>
      <c r="P3444" s="274">
        <f>$N$3166</f>
        <v>0.33538094155570269</v>
      </c>
      <c r="Q3444" s="274">
        <f>$O$3166</f>
        <v>0</v>
      </c>
      <c r="R3444" s="274">
        <f>$P$3166</f>
        <v>0</v>
      </c>
      <c r="S3444" s="274">
        <f>$Q$3166</f>
        <v>0</v>
      </c>
      <c r="T3444" s="274">
        <f>$R$3166</f>
        <v>0</v>
      </c>
      <c r="U3444" s="274">
        <f>$S$3166</f>
        <v>0</v>
      </c>
      <c r="V3444" s="291"/>
      <c r="W3444" s="291"/>
      <c r="X3444" s="265"/>
    </row>
    <row r="3445" spans="1:24">
      <c r="A3445" s="285" t="s">
        <v>93</v>
      </c>
      <c r="B3445" s="274">
        <f>$B$3012</f>
        <v>0</v>
      </c>
      <c r="C3445" s="274">
        <f>$C$3012</f>
        <v>0.17664994723892818</v>
      </c>
      <c r="D3445" s="274">
        <f>$D$3012</f>
        <v>2.5020565909085898E-2</v>
      </c>
      <c r="E3445" s="274">
        <f>$E$3012</f>
        <v>6.3184485263484275E-2</v>
      </c>
      <c r="F3445" s="274">
        <f>$F$3012</f>
        <v>1.2065632098145868E-2</v>
      </c>
      <c r="G3445" s="274">
        <f>$G$3012</f>
        <v>0</v>
      </c>
      <c r="H3445" s="274">
        <f>$H$3012</f>
        <v>4.2970630410967763E-2</v>
      </c>
      <c r="I3445" s="274">
        <f>$I$3012</f>
        <v>4.8188489486033726E-3</v>
      </c>
      <c r="J3445" s="274">
        <f>$J$3012</f>
        <v>1.0349615152362093E-2</v>
      </c>
      <c r="K3445" s="291"/>
      <c r="L3445" s="291"/>
      <c r="M3445" s="274">
        <f>$K$3012</f>
        <v>5.3724649560882437E-2</v>
      </c>
      <c r="N3445" s="274">
        <f>$L$3012</f>
        <v>0.11633488307809373</v>
      </c>
      <c r="O3445" s="274">
        <f>$M$3012</f>
        <v>1.6477585502158606E-2</v>
      </c>
      <c r="P3445" s="274">
        <f>$N$3012</f>
        <v>4.161087971079306E-2</v>
      </c>
      <c r="Q3445" s="274">
        <f>$O$3012</f>
        <v>4.1820856544716907E-2</v>
      </c>
      <c r="R3445" s="274">
        <f>$P$3012</f>
        <v>0</v>
      </c>
      <c r="S3445" s="274">
        <f>$Q$3012</f>
        <v>0.14894110440590089</v>
      </c>
      <c r="T3445" s="274">
        <f>$R$3012</f>
        <v>6.347018357707486E-2</v>
      </c>
      <c r="U3445" s="274">
        <f>$S$3012</f>
        <v>0.13631719538809817</v>
      </c>
      <c r="V3445" s="274">
        <f>$B$2787</f>
        <v>0.95242632914781233</v>
      </c>
      <c r="W3445" s="291"/>
      <c r="X3445" s="265"/>
    </row>
    <row r="3446" spans="1:24">
      <c r="A3446" s="285" t="s">
        <v>94</v>
      </c>
      <c r="B3446" s="274">
        <f>$B$3013</f>
        <v>0</v>
      </c>
      <c r="C3446" s="274">
        <f>$C$3013</f>
        <v>0.29490153994501445</v>
      </c>
      <c r="D3446" s="274">
        <f>$D$3013</f>
        <v>4.1769632724006529E-2</v>
      </c>
      <c r="E3446" s="274">
        <f>$E$3013</f>
        <v>8.0598951324264714E-2</v>
      </c>
      <c r="F3446" s="274">
        <f>$F$3013</f>
        <v>1.5391077257646997E-2</v>
      </c>
      <c r="G3446" s="274">
        <f>$G$3013</f>
        <v>0</v>
      </c>
      <c r="H3446" s="274">
        <f>$H$3013</f>
        <v>5.4813895126690666E-2</v>
      </c>
      <c r="I3446" s="274">
        <f>$I$3013</f>
        <v>6.1469864038273501E-3</v>
      </c>
      <c r="J3446" s="274">
        <f>$J$3013</f>
        <v>1.3202103719157605E-2</v>
      </c>
      <c r="K3446" s="291"/>
      <c r="L3446" s="291"/>
      <c r="M3446" s="274">
        <f>$K$3013</f>
        <v>9.5272409013318765E-2</v>
      </c>
      <c r="N3446" s="274">
        <f>$L$3013</f>
        <v>0.19421084866020713</v>
      </c>
      <c r="O3446" s="274">
        <f>$M$3013</f>
        <v>2.750787880275905E-2</v>
      </c>
      <c r="P3446" s="274">
        <f>$N$3013</f>
        <v>5.3079379445515169E-2</v>
      </c>
      <c r="Q3446" s="274">
        <f>$O$3013</f>
        <v>5.3347228626308169E-2</v>
      </c>
      <c r="R3446" s="274">
        <f>$P$3013</f>
        <v>0</v>
      </c>
      <c r="S3446" s="274">
        <f>$Q$3013</f>
        <v>0.18999121024937898</v>
      </c>
      <c r="T3446" s="274">
        <f>$R$3013</f>
        <v>8.0963391809527607E-2</v>
      </c>
      <c r="U3446" s="274">
        <f>$S$3013</f>
        <v>0.1738879876907892</v>
      </c>
      <c r="V3446" s="274">
        <f>$B$2788</f>
        <v>0.95242632914781233</v>
      </c>
      <c r="W3446" s="291"/>
      <c r="X3446" s="265"/>
    </row>
    <row r="3447" spans="1:24">
      <c r="A3447" s="285" t="s">
        <v>95</v>
      </c>
      <c r="B3447" s="274">
        <f>$B$3014</f>
        <v>0</v>
      </c>
      <c r="C3447" s="274">
        <f>$C$3014</f>
        <v>0.51430257872314444</v>
      </c>
      <c r="D3447" s="274">
        <f>$D$3014</f>
        <v>7.2845431143834127E-2</v>
      </c>
      <c r="E3447" s="274">
        <f>$E$3014</f>
        <v>0.13619001678822223</v>
      </c>
      <c r="F3447" s="274">
        <f>$F$3014</f>
        <v>2.6006679189592943E-2</v>
      </c>
      <c r="G3447" s="274">
        <f>$G$3014</f>
        <v>0</v>
      </c>
      <c r="H3447" s="274">
        <f>$H$3014</f>
        <v>9.262037749720009E-2</v>
      </c>
      <c r="I3447" s="274">
        <f>$I$3014</f>
        <v>1.0386713074791455E-2</v>
      </c>
      <c r="J3447" s="274">
        <f>$J$3014</f>
        <v>2.2307917133043764E-2</v>
      </c>
      <c r="K3447" s="291"/>
      <c r="L3447" s="291"/>
      <c r="M3447" s="274">
        <f>$K$3014</f>
        <v>0.17167154183732136</v>
      </c>
      <c r="N3447" s="274">
        <f>$L$3014</f>
        <v>0.33869996169086958</v>
      </c>
      <c r="O3447" s="274">
        <f>$M$3014</f>
        <v>4.797320829894796E-2</v>
      </c>
      <c r="P3447" s="274">
        <f>$N$3014</f>
        <v>8.9689523982886335E-2</v>
      </c>
      <c r="Q3447" s="274">
        <f>$O$3014</f>
        <v>9.0142115286241525E-2</v>
      </c>
      <c r="R3447" s="274">
        <f>$P$3014</f>
        <v>0</v>
      </c>
      <c r="S3447" s="274">
        <f>$Q$3014</f>
        <v>0.32103278874408653</v>
      </c>
      <c r="T3447" s="274">
        <f>$R$3014</f>
        <v>0.1368058207781101</v>
      </c>
      <c r="U3447" s="274">
        <f>$S$3014</f>
        <v>0.29382278024440295</v>
      </c>
      <c r="V3447" s="274">
        <f>$B$2789</f>
        <v>0.95242632914781233</v>
      </c>
      <c r="W3447" s="291"/>
      <c r="X3447" s="265"/>
    </row>
    <row r="3448" spans="1:24">
      <c r="A3448" s="285" t="s">
        <v>96</v>
      </c>
      <c r="B3448" s="274">
        <f>$B$3015</f>
        <v>0</v>
      </c>
      <c r="C3448" s="274">
        <f>$C$3015</f>
        <v>6.2906964833405271E-2</v>
      </c>
      <c r="D3448" s="274">
        <f>$D$3015</f>
        <v>8.9100952723517781E-3</v>
      </c>
      <c r="E3448" s="274">
        <f>$E$3015</f>
        <v>4.610169120855033E-2</v>
      </c>
      <c r="F3448" s="274">
        <f>$F$3015</f>
        <v>8.8035226195972687E-3</v>
      </c>
      <c r="G3448" s="274">
        <f>$G$3015</f>
        <v>0</v>
      </c>
      <c r="H3448" s="274">
        <f>$H$3015</f>
        <v>3.1352929852671484E-2</v>
      </c>
      <c r="I3448" s="274">
        <f>$I$3015</f>
        <v>3.5160069007881853E-3</v>
      </c>
      <c r="J3448" s="274">
        <f>$J$3015</f>
        <v>7.551454441574402E-3</v>
      </c>
      <c r="K3448" s="291"/>
      <c r="L3448" s="291"/>
      <c r="M3448" s="274">
        <f>$K$3015</f>
        <v>1.3770806195681728E-2</v>
      </c>
      <c r="N3448" s="274">
        <f>$L$3015</f>
        <v>4.1428115394756458E-2</v>
      </c>
      <c r="O3448" s="274">
        <f>$M$3015</f>
        <v>5.8678471628509782E-3</v>
      </c>
      <c r="P3448" s="274">
        <f>$N$3015</f>
        <v>3.0360806443916071E-2</v>
      </c>
      <c r="Q3448" s="274">
        <f>$O$3015</f>
        <v>3.0514013154679619E-2</v>
      </c>
      <c r="R3448" s="274">
        <f>$P$3015</f>
        <v>0</v>
      </c>
      <c r="S3448" s="274">
        <f>$Q$3015</f>
        <v>0.10867282965031233</v>
      </c>
      <c r="T3448" s="274">
        <f>$R$3015</f>
        <v>4.6310147056169107E-2</v>
      </c>
      <c r="U3448" s="274">
        <f>$S$3015</f>
        <v>9.9461967949743657E-2</v>
      </c>
      <c r="V3448" s="274">
        <f>$B$2790</f>
        <v>0.95242632914781233</v>
      </c>
      <c r="W3448" s="291"/>
      <c r="X3448" s="265"/>
    </row>
    <row r="3449" spans="1:24">
      <c r="A3449" s="285" t="s">
        <v>97</v>
      </c>
      <c r="B3449" s="274">
        <f>$B$3016</f>
        <v>0</v>
      </c>
      <c r="C3449" s="274">
        <f>$C$3016</f>
        <v>8.2107530642108042</v>
      </c>
      <c r="D3449" s="274">
        <f>$D$3016</f>
        <v>1.1629648998901219</v>
      </c>
      <c r="E3449" s="274">
        <f>$E$3016</f>
        <v>1.9506767155298081</v>
      </c>
      <c r="F3449" s="274">
        <f>$F$3016</f>
        <v>0.37249884198398731</v>
      </c>
      <c r="G3449" s="274">
        <f>$G$3016</f>
        <v>0</v>
      </c>
      <c r="H3449" s="274">
        <f>$H$3016</f>
        <v>1.3266201005637432</v>
      </c>
      <c r="I3449" s="274">
        <f>$I$3016</f>
        <v>0.14877095857467362</v>
      </c>
      <c r="J3449" s="274">
        <f>$J$3016</f>
        <v>0.31952073690588007</v>
      </c>
      <c r="K3449" s="291"/>
      <c r="L3449" s="291"/>
      <c r="M3449" s="274">
        <f>$K$3016</f>
        <v>2.8557100747402528</v>
      </c>
      <c r="N3449" s="274">
        <f>$L$3016</f>
        <v>5.407287195031599</v>
      </c>
      <c r="O3449" s="274">
        <f>$M$3016</f>
        <v>0.76588409884806263</v>
      </c>
      <c r="P3449" s="274">
        <f>$N$3016</f>
        <v>1.2846409023682479</v>
      </c>
      <c r="Q3449" s="274">
        <f>$O$3016</f>
        <v>1.2911234576827035</v>
      </c>
      <c r="R3449" s="274">
        <f>$P$3016</f>
        <v>0</v>
      </c>
      <c r="S3449" s="274">
        <f>$Q$3016</f>
        <v>4.5982165263881978</v>
      </c>
      <c r="T3449" s="274">
        <f>$R$3016</f>
        <v>1.9594969986367015</v>
      </c>
      <c r="U3449" s="274">
        <f>$S$3016</f>
        <v>4.2084821592044559</v>
      </c>
      <c r="V3449" s="274">
        <f>$B$2791</f>
        <v>0.95242632914781233</v>
      </c>
      <c r="W3449" s="291"/>
      <c r="X3449" s="265"/>
    </row>
    <row r="3450" spans="1:24">
      <c r="A3450" s="285" t="s">
        <v>1176</v>
      </c>
      <c r="B3450" s="274">
        <f>$B$2973</f>
        <v>0</v>
      </c>
      <c r="C3450" s="274">
        <f>$C$2973</f>
        <v>-0.17232463951343183</v>
      </c>
      <c r="D3450" s="274">
        <f>$D$2973</f>
        <v>-2.440793257001966E-2</v>
      </c>
      <c r="E3450" s="274">
        <f>$E$2973</f>
        <v>-6.1617751925910555E-2</v>
      </c>
      <c r="F3450" s="274">
        <f>$F$2973</f>
        <v>-1.1766450614459882E-2</v>
      </c>
      <c r="G3450" s="274">
        <f>$G$2973</f>
        <v>0</v>
      </c>
      <c r="H3450" s="274">
        <f>$H$2973</f>
        <v>-4.1905123286541911E-2</v>
      </c>
      <c r="I3450" s="274">
        <f>$I$2973</f>
        <v>-4.6993599432719928E-3</v>
      </c>
      <c r="J3450" s="274">
        <f>$J$2973</f>
        <v>0</v>
      </c>
      <c r="K3450" s="291"/>
      <c r="L3450" s="291"/>
      <c r="M3450" s="274">
        <f>$K$2973</f>
        <v>-5.2414778186518129E-2</v>
      </c>
      <c r="N3450" s="274">
        <f>$L$2973</f>
        <v>-0.11348640122804367</v>
      </c>
      <c r="O3450" s="274">
        <f>$M$2973</f>
        <v>-1.6074128671381204E-2</v>
      </c>
      <c r="P3450" s="274">
        <f>$N$2973</f>
        <v>-4.0579089198030167E-2</v>
      </c>
      <c r="Q3450" s="274">
        <f>$O$2973</f>
        <v>-4.0783859410352931E-2</v>
      </c>
      <c r="R3450" s="274">
        <f>$P$2973</f>
        <v>0</v>
      </c>
      <c r="S3450" s="274">
        <f>$Q$2973</f>
        <v>-0.14524793522624099</v>
      </c>
      <c r="T3450" s="274">
        <f>$R$2973</f>
        <v>-6.1896366015098188E-2</v>
      </c>
      <c r="U3450" s="274">
        <f>$S$2973</f>
        <v>0</v>
      </c>
      <c r="V3450" s="291"/>
      <c r="W3450" s="291"/>
      <c r="X3450" s="265"/>
    </row>
    <row r="3451" spans="1:24">
      <c r="A3451" s="285" t="s">
        <v>62</v>
      </c>
      <c r="B3451" s="274">
        <f>$B$2974</f>
        <v>0</v>
      </c>
      <c r="C3451" s="274">
        <f>$C$2974</f>
        <v>-0.17021520418982108</v>
      </c>
      <c r="D3451" s="274">
        <f>$D$2974</f>
        <v>-2.4109153734416782E-2</v>
      </c>
      <c r="E3451" s="274">
        <f>$E$2974</f>
        <v>-6.0863485659397525E-2</v>
      </c>
      <c r="F3451" s="274">
        <f>$F$2974</f>
        <v>-1.1622416849876095E-2</v>
      </c>
      <c r="G3451" s="274">
        <f>$G$2974</f>
        <v>0</v>
      </c>
      <c r="H3451" s="274">
        <f>$H$2974</f>
        <v>-4.1392160383787631E-2</v>
      </c>
      <c r="I3451" s="274">
        <f>$I$2974</f>
        <v>0</v>
      </c>
      <c r="J3451" s="274">
        <f>$J$2974</f>
        <v>0</v>
      </c>
      <c r="K3451" s="291"/>
      <c r="L3451" s="291"/>
      <c r="M3451" s="274">
        <f>$K$2974</f>
        <v>-5.1773166024159621E-2</v>
      </c>
      <c r="N3451" s="274">
        <f>$L$2974</f>
        <v>-0.11209720799267213</v>
      </c>
      <c r="O3451" s="274">
        <f>$M$2974</f>
        <v>-1.5877364384443392E-2</v>
      </c>
      <c r="P3451" s="274">
        <f>$N$2974</f>
        <v>-4.0082358350973304E-2</v>
      </c>
      <c r="Q3451" s="274">
        <f>$O$2974</f>
        <v>-4.0284621959943707E-2</v>
      </c>
      <c r="R3451" s="274">
        <f>$P$2974</f>
        <v>0</v>
      </c>
      <c r="S3451" s="274">
        <f>$Q$2974</f>
        <v>-0.14346994731857515</v>
      </c>
      <c r="T3451" s="274">
        <f>$R$2974</f>
        <v>0</v>
      </c>
      <c r="U3451" s="274">
        <f>$S$2974</f>
        <v>0</v>
      </c>
      <c r="V3451" s="291"/>
      <c r="W3451" s="291"/>
      <c r="X3451" s="265"/>
    </row>
    <row r="3452" spans="1:24">
      <c r="A3452" s="285" t="s">
        <v>63</v>
      </c>
      <c r="B3452" s="274">
        <f>$B$2975</f>
        <v>0</v>
      </c>
      <c r="C3452" s="274">
        <f>$C$2975</f>
        <v>-0.17232463951343183</v>
      </c>
      <c r="D3452" s="274">
        <f>$D$2975</f>
        <v>-2.440793257001966E-2</v>
      </c>
      <c r="E3452" s="274">
        <f>$E$2975</f>
        <v>-6.1617751925910555E-2</v>
      </c>
      <c r="F3452" s="274">
        <f>$F$2975</f>
        <v>-1.1766450614459882E-2</v>
      </c>
      <c r="G3452" s="274">
        <f>$G$2975</f>
        <v>0</v>
      </c>
      <c r="H3452" s="274">
        <f>$H$2975</f>
        <v>-4.1905123286541911E-2</v>
      </c>
      <c r="I3452" s="274">
        <f>$I$2975</f>
        <v>-4.6993599432719928E-3</v>
      </c>
      <c r="J3452" s="274">
        <f>$J$2975</f>
        <v>0</v>
      </c>
      <c r="K3452" s="291"/>
      <c r="L3452" s="291"/>
      <c r="M3452" s="274">
        <f>$K$2975</f>
        <v>-5.2414778186518129E-2</v>
      </c>
      <c r="N3452" s="274">
        <f>$L$2975</f>
        <v>-0.11348640122804367</v>
      </c>
      <c r="O3452" s="274">
        <f>$M$2975</f>
        <v>-1.6074128671381204E-2</v>
      </c>
      <c r="P3452" s="274">
        <f>$N$2975</f>
        <v>-4.0579089198030167E-2</v>
      </c>
      <c r="Q3452" s="274">
        <f>$O$2975</f>
        <v>-4.0783859410352931E-2</v>
      </c>
      <c r="R3452" s="274">
        <f>$P$2975</f>
        <v>0</v>
      </c>
      <c r="S3452" s="274">
        <f>$Q$2975</f>
        <v>-0.14524793522624099</v>
      </c>
      <c r="T3452" s="274">
        <f>$R$2975</f>
        <v>-6.1896366015098188E-2</v>
      </c>
      <c r="U3452" s="274">
        <f>$S$2975</f>
        <v>0</v>
      </c>
      <c r="V3452" s="291"/>
      <c r="W3452" s="291"/>
      <c r="X3452" s="265"/>
    </row>
    <row r="3453" spans="1:24">
      <c r="A3453" s="285" t="s">
        <v>1516</v>
      </c>
      <c r="B3453" s="274">
        <f>$B$2976</f>
        <v>0</v>
      </c>
      <c r="C3453" s="274">
        <f>$C$2976</f>
        <v>-0.17232463951343183</v>
      </c>
      <c r="D3453" s="274">
        <f>$D$2976</f>
        <v>-2.440793257001966E-2</v>
      </c>
      <c r="E3453" s="274">
        <f>$E$2976</f>
        <v>-6.1617751925910555E-2</v>
      </c>
      <c r="F3453" s="274">
        <f>$F$2976</f>
        <v>-1.1766450614459882E-2</v>
      </c>
      <c r="G3453" s="274">
        <f>$G$2976</f>
        <v>0</v>
      </c>
      <c r="H3453" s="274">
        <f>$H$2976</f>
        <v>-4.1905123286541911E-2</v>
      </c>
      <c r="I3453" s="274">
        <f>$I$2976</f>
        <v>-4.6993599432719928E-3</v>
      </c>
      <c r="J3453" s="274">
        <f>$J$2976</f>
        <v>0</v>
      </c>
      <c r="K3453" s="291"/>
      <c r="L3453" s="291"/>
      <c r="M3453" s="274">
        <f>$K$2976</f>
        <v>-5.2414778186518129E-2</v>
      </c>
      <c r="N3453" s="274">
        <f>$L$2976</f>
        <v>-0.11348640122804367</v>
      </c>
      <c r="O3453" s="274">
        <f>$M$2976</f>
        <v>-1.6074128671381204E-2</v>
      </c>
      <c r="P3453" s="274">
        <f>$N$2976</f>
        <v>-4.0579089198030167E-2</v>
      </c>
      <c r="Q3453" s="274">
        <f>$O$2976</f>
        <v>-4.0783859410352931E-2</v>
      </c>
      <c r="R3453" s="274">
        <f>$P$2976</f>
        <v>0</v>
      </c>
      <c r="S3453" s="274">
        <f>$Q$2976</f>
        <v>-0.14524793522624099</v>
      </c>
      <c r="T3453" s="274">
        <f>$R$2976</f>
        <v>-6.1896366015098188E-2</v>
      </c>
      <c r="U3453" s="274">
        <f>$S$2976</f>
        <v>0</v>
      </c>
      <c r="V3453" s="291"/>
      <c r="W3453" s="291"/>
      <c r="X3453" s="265"/>
    </row>
    <row r="3454" spans="1:24">
      <c r="A3454" s="285" t="s">
        <v>64</v>
      </c>
      <c r="B3454" s="274">
        <f>$B$3017</f>
        <v>0</v>
      </c>
      <c r="C3454" s="274">
        <f>$C$3017</f>
        <v>-2.4413850848875729</v>
      </c>
      <c r="D3454" s="274">
        <f>$D$3017</f>
        <v>-0.34579595058281215</v>
      </c>
      <c r="E3454" s="274">
        <f>$E$3017</f>
        <v>-0.62318350494205499</v>
      </c>
      <c r="F3454" s="274">
        <f>$F$3017</f>
        <v>-0.11900236060970745</v>
      </c>
      <c r="G3454" s="274">
        <f>$G$3017</f>
        <v>0</v>
      </c>
      <c r="H3454" s="274">
        <f>$H$3017</f>
        <v>-0.42381587754347799</v>
      </c>
      <c r="I3454" s="274">
        <f>$I$3017</f>
        <v>-4.7527920264826509E-2</v>
      </c>
      <c r="J3454" s="274">
        <f>$J$3017</f>
        <v>0</v>
      </c>
      <c r="K3454" s="291"/>
      <c r="L3454" s="291"/>
      <c r="M3454" s="274">
        <f>$K$3017</f>
        <v>-0.87960432358984464</v>
      </c>
      <c r="N3454" s="274">
        <f>$L$3017</f>
        <v>-1.607802622294862</v>
      </c>
      <c r="O3454" s="274">
        <f>$M$3017</f>
        <v>-0.22772795638324814</v>
      </c>
      <c r="P3454" s="274">
        <f>$N$3017</f>
        <v>-0.41040476556482264</v>
      </c>
      <c r="Q3454" s="274">
        <f>$O$3017</f>
        <v>-0.41247575021834371</v>
      </c>
      <c r="R3454" s="274">
        <f>$P$3017</f>
        <v>0</v>
      </c>
      <c r="S3454" s="274">
        <f>$Q$3017</f>
        <v>-1.4689941539691742</v>
      </c>
      <c r="T3454" s="274">
        <f>$R$3017</f>
        <v>-0.62600132446969614</v>
      </c>
      <c r="U3454" s="274">
        <f>$S$3017</f>
        <v>0</v>
      </c>
      <c r="V3454" s="291"/>
      <c r="W3454" s="291"/>
      <c r="X3454" s="265"/>
    </row>
    <row r="3455" spans="1:24">
      <c r="A3455" s="285" t="s">
        <v>1517</v>
      </c>
      <c r="B3455" s="274">
        <f>$B$3018</f>
        <v>0</v>
      </c>
      <c r="C3455" s="274">
        <f>$C$3018</f>
        <v>-2.4413850848875729</v>
      </c>
      <c r="D3455" s="274">
        <f>$D$3018</f>
        <v>-0.34579595058281215</v>
      </c>
      <c r="E3455" s="274">
        <f>$E$3018</f>
        <v>-0.62318350494205499</v>
      </c>
      <c r="F3455" s="274">
        <f>$F$3018</f>
        <v>-0.11900236060970745</v>
      </c>
      <c r="G3455" s="274">
        <f>$G$3018</f>
        <v>0</v>
      </c>
      <c r="H3455" s="274">
        <f>$H$3018</f>
        <v>-0.42381587754347799</v>
      </c>
      <c r="I3455" s="274">
        <f>$I$3018</f>
        <v>-4.7527920264826509E-2</v>
      </c>
      <c r="J3455" s="274">
        <f>$J$3018</f>
        <v>0</v>
      </c>
      <c r="K3455" s="291"/>
      <c r="L3455" s="291"/>
      <c r="M3455" s="274">
        <f>$K$3018</f>
        <v>-0.87960432358984464</v>
      </c>
      <c r="N3455" s="274">
        <f>$L$3018</f>
        <v>-1.607802622294862</v>
      </c>
      <c r="O3455" s="274">
        <f>$M$3018</f>
        <v>-0.22772795638324814</v>
      </c>
      <c r="P3455" s="274">
        <f>$N$3018</f>
        <v>-0.41040476556482264</v>
      </c>
      <c r="Q3455" s="274">
        <f>$O$3018</f>
        <v>-0.41247575021834371</v>
      </c>
      <c r="R3455" s="274">
        <f>$P$3018</f>
        <v>0</v>
      </c>
      <c r="S3455" s="274">
        <f>$Q$3018</f>
        <v>-1.4689941539691742</v>
      </c>
      <c r="T3455" s="274">
        <f>$R$3018</f>
        <v>-0.62600132446969614</v>
      </c>
      <c r="U3455" s="274">
        <f>$S$3018</f>
        <v>0</v>
      </c>
      <c r="V3455" s="291"/>
      <c r="W3455" s="291"/>
      <c r="X3455" s="265"/>
    </row>
    <row r="3456" spans="1:24">
      <c r="A3456" s="285" t="s">
        <v>65</v>
      </c>
      <c r="B3456" s="274">
        <f>$B$2979</f>
        <v>0</v>
      </c>
      <c r="C3456" s="274">
        <f>$C$2979</f>
        <v>-0.17021520418982108</v>
      </c>
      <c r="D3456" s="274">
        <f>$D$2979</f>
        <v>-2.4109153734416782E-2</v>
      </c>
      <c r="E3456" s="274">
        <f>$E$2979</f>
        <v>-6.0863485659397525E-2</v>
      </c>
      <c r="F3456" s="274">
        <f>$F$2979</f>
        <v>-1.1622416849876095E-2</v>
      </c>
      <c r="G3456" s="274">
        <f>$G$2979</f>
        <v>0</v>
      </c>
      <c r="H3456" s="274">
        <f>$H$2979</f>
        <v>-4.1392160383787631E-2</v>
      </c>
      <c r="I3456" s="274">
        <f>$I$2979</f>
        <v>0</v>
      </c>
      <c r="J3456" s="274">
        <f>$J$2979</f>
        <v>0</v>
      </c>
      <c r="K3456" s="291"/>
      <c r="L3456" s="291"/>
      <c r="M3456" s="274">
        <f>$K$2979</f>
        <v>-5.1773166024159621E-2</v>
      </c>
      <c r="N3456" s="274">
        <f>$L$2979</f>
        <v>-0.11209720799267213</v>
      </c>
      <c r="O3456" s="274">
        <f>$M$2979</f>
        <v>-1.5877364384443392E-2</v>
      </c>
      <c r="P3456" s="274">
        <f>$N$2979</f>
        <v>-4.0082358350973304E-2</v>
      </c>
      <c r="Q3456" s="274">
        <f>$O$2979</f>
        <v>-4.0284621959943707E-2</v>
      </c>
      <c r="R3456" s="274">
        <f>$P$2979</f>
        <v>0</v>
      </c>
      <c r="S3456" s="274">
        <f>$Q$2979</f>
        <v>-0.14346994731857515</v>
      </c>
      <c r="T3456" s="274">
        <f>$R$2979</f>
        <v>0</v>
      </c>
      <c r="U3456" s="274">
        <f>$S$2979</f>
        <v>0</v>
      </c>
      <c r="V3456" s="291"/>
      <c r="W3456" s="291"/>
      <c r="X3456" s="265"/>
    </row>
    <row r="3457" spans="1:24">
      <c r="A3457" s="285" t="s">
        <v>1518</v>
      </c>
      <c r="B3457" s="274">
        <f>$B$2980</f>
        <v>0</v>
      </c>
      <c r="C3457" s="274">
        <f>$C$2980</f>
        <v>-0.17021520418982108</v>
      </c>
      <c r="D3457" s="274">
        <f>$D$2980</f>
        <v>-2.4109153734416782E-2</v>
      </c>
      <c r="E3457" s="274">
        <f>$E$2980</f>
        <v>-6.0863485659397525E-2</v>
      </c>
      <c r="F3457" s="274">
        <f>$F$2980</f>
        <v>-1.1622416849876095E-2</v>
      </c>
      <c r="G3457" s="274">
        <f>$G$2980</f>
        <v>0</v>
      </c>
      <c r="H3457" s="274">
        <f>$H$2980</f>
        <v>-4.1392160383787631E-2</v>
      </c>
      <c r="I3457" s="274">
        <f>$I$2980</f>
        <v>0</v>
      </c>
      <c r="J3457" s="274">
        <f>$J$2980</f>
        <v>0</v>
      </c>
      <c r="K3457" s="291"/>
      <c r="L3457" s="291"/>
      <c r="M3457" s="274">
        <f>$K$2980</f>
        <v>-5.1773166024159621E-2</v>
      </c>
      <c r="N3457" s="274">
        <f>$L$2980</f>
        <v>-0.11209720799267213</v>
      </c>
      <c r="O3457" s="274">
        <f>$M$2980</f>
        <v>-1.5877364384443392E-2</v>
      </c>
      <c r="P3457" s="274">
        <f>$N$2980</f>
        <v>-4.0082358350973304E-2</v>
      </c>
      <c r="Q3457" s="274">
        <f>$O$2980</f>
        <v>-4.0284621959943707E-2</v>
      </c>
      <c r="R3457" s="274">
        <f>$P$2980</f>
        <v>0</v>
      </c>
      <c r="S3457" s="274">
        <f>$Q$2980</f>
        <v>-0.14346994731857515</v>
      </c>
      <c r="T3457" s="274">
        <f>$R$2980</f>
        <v>0</v>
      </c>
      <c r="U3457" s="274">
        <f>$S$2980</f>
        <v>0</v>
      </c>
      <c r="V3457" s="291"/>
      <c r="W3457" s="291"/>
      <c r="X3457" s="265"/>
    </row>
    <row r="3458" spans="1:24">
      <c r="A3458" s="285" t="s">
        <v>66</v>
      </c>
      <c r="B3458" s="274">
        <f>$B$3019</f>
        <v>0</v>
      </c>
      <c r="C3458" s="274">
        <f>$C$3019</f>
        <v>-2.411499956729815</v>
      </c>
      <c r="D3458" s="274">
        <f>$D$3019</f>
        <v>-0.34156304346645</v>
      </c>
      <c r="E3458" s="274">
        <f>$E$3019</f>
        <v>-0.6155550816235551</v>
      </c>
      <c r="F3458" s="274">
        <f>$F$3019</f>
        <v>-0.11754564621429671</v>
      </c>
      <c r="G3458" s="274">
        <f>$G$3019</f>
        <v>0</v>
      </c>
      <c r="H3458" s="274">
        <f>$H$3019</f>
        <v>-0.41862792424021511</v>
      </c>
      <c r="I3458" s="274">
        <f>$I$3019</f>
        <v>0</v>
      </c>
      <c r="J3458" s="274">
        <f>$J$3019</f>
        <v>0</v>
      </c>
      <c r="K3458" s="291"/>
      <c r="L3458" s="291"/>
      <c r="M3458" s="274">
        <f>$K$3019</f>
        <v>-0.86883703902612708</v>
      </c>
      <c r="N3458" s="274">
        <f>$L$3019</f>
        <v>-1.5881214225869211</v>
      </c>
      <c r="O3458" s="274">
        <f>$M$3019</f>
        <v>-0.22494032603204075</v>
      </c>
      <c r="P3458" s="274">
        <f>$N$3019</f>
        <v>-0.40538097841572401</v>
      </c>
      <c r="Q3458" s="274">
        <f>$O$3019</f>
        <v>-0.40742661203299668</v>
      </c>
      <c r="R3458" s="274">
        <f>$P$3019</f>
        <v>0</v>
      </c>
      <c r="S3458" s="274">
        <f>$Q$3019</f>
        <v>-1.4510121163028848</v>
      </c>
      <c r="T3458" s="274">
        <f>$R$3019</f>
        <v>0</v>
      </c>
      <c r="U3458" s="274">
        <f>$S$3019</f>
        <v>0</v>
      </c>
      <c r="V3458" s="291"/>
      <c r="W3458" s="291"/>
      <c r="X3458" s="265"/>
    </row>
    <row r="3459" spans="1:24">
      <c r="A3459" s="285" t="s">
        <v>1519</v>
      </c>
      <c r="B3459" s="274">
        <f>$B$3020</f>
        <v>0</v>
      </c>
      <c r="C3459" s="274">
        <f>$C$3020</f>
        <v>-2.411499956729815</v>
      </c>
      <c r="D3459" s="274">
        <f>$D$3020</f>
        <v>-0.34156304346645</v>
      </c>
      <c r="E3459" s="274">
        <f>$E$3020</f>
        <v>-0.6155550816235551</v>
      </c>
      <c r="F3459" s="274">
        <f>$F$3020</f>
        <v>-0.11754564621429671</v>
      </c>
      <c r="G3459" s="274">
        <f>$G$3020</f>
        <v>0</v>
      </c>
      <c r="H3459" s="274">
        <f>$H$3020</f>
        <v>-0.41862792424021511</v>
      </c>
      <c r="I3459" s="274">
        <f>$I$3020</f>
        <v>0</v>
      </c>
      <c r="J3459" s="274">
        <f>$J$3020</f>
        <v>0</v>
      </c>
      <c r="K3459" s="291"/>
      <c r="L3459" s="291"/>
      <c r="M3459" s="274">
        <f>$K$3020</f>
        <v>-0.86883703902612708</v>
      </c>
      <c r="N3459" s="274">
        <f>$L$3020</f>
        <v>-1.5881214225869211</v>
      </c>
      <c r="O3459" s="274">
        <f>$M$3020</f>
        <v>-0.22494032603204075</v>
      </c>
      <c r="P3459" s="274">
        <f>$N$3020</f>
        <v>-0.40538097841572401</v>
      </c>
      <c r="Q3459" s="274">
        <f>$O$3020</f>
        <v>-0.40742661203299668</v>
      </c>
      <c r="R3459" s="274">
        <f>$P$3020</f>
        <v>0</v>
      </c>
      <c r="S3459" s="274">
        <f>$Q$3020</f>
        <v>-1.4510121163028848</v>
      </c>
      <c r="T3459" s="274">
        <f>$R$3020</f>
        <v>0</v>
      </c>
      <c r="U3459" s="274">
        <f>$S$3020</f>
        <v>0</v>
      </c>
      <c r="V3459" s="291"/>
      <c r="W3459" s="291"/>
      <c r="X3459" s="265"/>
    </row>
    <row r="3460" spans="1:24">
      <c r="A3460" s="285" t="s">
        <v>74</v>
      </c>
      <c r="B3460" s="274">
        <f>$B$2983</f>
        <v>0</v>
      </c>
      <c r="C3460" s="274">
        <f>$C$2983</f>
        <v>-0.16843029737753509</v>
      </c>
      <c r="D3460" s="274">
        <f>$D$2983</f>
        <v>-7.8725924882622703E-3</v>
      </c>
      <c r="E3460" s="274">
        <f>$E$2983</f>
        <v>-1.9874335917797931E-2</v>
      </c>
      <c r="F3460" s="274">
        <f>$F$2983</f>
        <v>0</v>
      </c>
      <c r="G3460" s="274">
        <f>$G$2983</f>
        <v>0</v>
      </c>
      <c r="H3460" s="274">
        <f>$H$2983</f>
        <v>0</v>
      </c>
      <c r="I3460" s="274">
        <f>$I$2983</f>
        <v>0</v>
      </c>
      <c r="J3460" s="274">
        <f>$J$2983</f>
        <v>0</v>
      </c>
      <c r="K3460" s="291"/>
      <c r="L3460" s="291"/>
      <c r="M3460" s="274">
        <f>$K$2983</f>
        <v>-5.1230263425240889E-2</v>
      </c>
      <c r="N3460" s="274">
        <f>$L$2983</f>
        <v>-0.11092173679351162</v>
      </c>
      <c r="O3460" s="274">
        <f>$M$2983</f>
        <v>-1.5710871526265244E-2</v>
      </c>
      <c r="P3460" s="274">
        <f>$N$2983</f>
        <v>-3.9662047634232887E-2</v>
      </c>
      <c r="Q3460" s="274">
        <f>$O$2983</f>
        <v>-3.9862190271135918E-2</v>
      </c>
      <c r="R3460" s="274">
        <f>$P$2983</f>
        <v>0</v>
      </c>
      <c r="S3460" s="274">
        <f>$Q$2983</f>
        <v>0</v>
      </c>
      <c r="T3460" s="274">
        <f>$R$2983</f>
        <v>0</v>
      </c>
      <c r="U3460" s="274">
        <f>$S$2983</f>
        <v>0</v>
      </c>
      <c r="V3460" s="291"/>
      <c r="W3460" s="291"/>
      <c r="X3460" s="265"/>
    </row>
    <row r="3461" spans="1:24">
      <c r="A3461" s="285" t="s">
        <v>1520</v>
      </c>
      <c r="B3461" s="274">
        <f>$B$2984</f>
        <v>0</v>
      </c>
      <c r="C3461" s="274">
        <f>$C$2984</f>
        <v>-0.16843029737753509</v>
      </c>
      <c r="D3461" s="274">
        <f>$D$2984</f>
        <v>-7.8725924882622703E-3</v>
      </c>
      <c r="E3461" s="274">
        <f>$E$2984</f>
        <v>-1.9874335917797931E-2</v>
      </c>
      <c r="F3461" s="274">
        <f>$F$2984</f>
        <v>0</v>
      </c>
      <c r="G3461" s="274">
        <f>$G$2984</f>
        <v>0</v>
      </c>
      <c r="H3461" s="274">
        <f>$H$2984</f>
        <v>0</v>
      </c>
      <c r="I3461" s="274">
        <f>$I$2984</f>
        <v>0</v>
      </c>
      <c r="J3461" s="274">
        <f>$J$2984</f>
        <v>0</v>
      </c>
      <c r="K3461" s="291"/>
      <c r="L3461" s="291"/>
      <c r="M3461" s="274">
        <f>$K$2984</f>
        <v>-5.1230263425240889E-2</v>
      </c>
      <c r="N3461" s="274">
        <f>$L$2984</f>
        <v>-0.11092173679351162</v>
      </c>
      <c r="O3461" s="274">
        <f>$M$2984</f>
        <v>-1.5710871526265244E-2</v>
      </c>
      <c r="P3461" s="274">
        <f>$N$2984</f>
        <v>-3.9662047634232887E-2</v>
      </c>
      <c r="Q3461" s="274">
        <f>$O$2984</f>
        <v>-3.9862190271135918E-2</v>
      </c>
      <c r="R3461" s="274">
        <f>$P$2984</f>
        <v>0</v>
      </c>
      <c r="S3461" s="274">
        <f>$Q$2984</f>
        <v>0</v>
      </c>
      <c r="T3461" s="274">
        <f>$R$2984</f>
        <v>0</v>
      </c>
      <c r="U3461" s="274">
        <f>$S$2984</f>
        <v>0</v>
      </c>
      <c r="V3461" s="291"/>
      <c r="W3461" s="291"/>
      <c r="X3461" s="265"/>
    </row>
    <row r="3462" spans="1:24">
      <c r="A3462" s="285" t="s">
        <v>75</v>
      </c>
      <c r="B3462" s="274">
        <f>$B$3021</f>
        <v>0</v>
      </c>
      <c r="C3462" s="274">
        <f>$C$3021</f>
        <v>-2.3862125405963281</v>
      </c>
      <c r="D3462" s="274">
        <f>$D$3021</f>
        <v>-0.1115338464337443</v>
      </c>
      <c r="E3462" s="274">
        <f>$E$3021</f>
        <v>-0.2010030864245306</v>
      </c>
      <c r="F3462" s="274">
        <f>$F$3021</f>
        <v>0</v>
      </c>
      <c r="G3462" s="274">
        <f>$G$3021</f>
        <v>0</v>
      </c>
      <c r="H3462" s="274">
        <f>$H$3021</f>
        <v>0</v>
      </c>
      <c r="I3462" s="274">
        <f>$I$3021</f>
        <v>0</v>
      </c>
      <c r="J3462" s="274">
        <f>$J$3021</f>
        <v>0</v>
      </c>
      <c r="K3462" s="291"/>
      <c r="L3462" s="291"/>
      <c r="M3462" s="274">
        <f>$K$3021</f>
        <v>-0.85972625977990458</v>
      </c>
      <c r="N3462" s="274">
        <f>$L$3021</f>
        <v>-1.5714680997571251</v>
      </c>
      <c r="O3462" s="274">
        <f>$M$3021</f>
        <v>-0.22258156188871145</v>
      </c>
      <c r="P3462" s="274">
        <f>$N$3021</f>
        <v>-0.40113008159725605</v>
      </c>
      <c r="Q3462" s="274">
        <f>$O$3021</f>
        <v>-0.40315426433770318</v>
      </c>
      <c r="R3462" s="274">
        <f>$P$3021</f>
        <v>0</v>
      </c>
      <c r="S3462" s="274">
        <f>$Q$3021</f>
        <v>0</v>
      </c>
      <c r="T3462" s="274">
        <f>$R$3021</f>
        <v>0</v>
      </c>
      <c r="U3462" s="274">
        <f>$S$3021</f>
        <v>0</v>
      </c>
      <c r="V3462" s="291"/>
      <c r="W3462" s="291"/>
      <c r="X3462" s="265"/>
    </row>
    <row r="3463" spans="1:24">
      <c r="A3463" s="285" t="s">
        <v>1521</v>
      </c>
      <c r="B3463" s="274">
        <f>$B$3022</f>
        <v>0</v>
      </c>
      <c r="C3463" s="274">
        <f>$C$3022</f>
        <v>-2.3862125405963281</v>
      </c>
      <c r="D3463" s="274">
        <f>$D$3022</f>
        <v>-0.1115338464337443</v>
      </c>
      <c r="E3463" s="274">
        <f>$E$3022</f>
        <v>-0.2010030864245306</v>
      </c>
      <c r="F3463" s="274">
        <f>$F$3022</f>
        <v>0</v>
      </c>
      <c r="G3463" s="274">
        <f>$G$3022</f>
        <v>0</v>
      </c>
      <c r="H3463" s="274">
        <f>$H$3022</f>
        <v>0</v>
      </c>
      <c r="I3463" s="274">
        <f>$I$3022</f>
        <v>0</v>
      </c>
      <c r="J3463" s="274">
        <f>$J$3022</f>
        <v>0</v>
      </c>
      <c r="K3463" s="291"/>
      <c r="L3463" s="291"/>
      <c r="M3463" s="274">
        <f>$K$3022</f>
        <v>-0.85972625977990458</v>
      </c>
      <c r="N3463" s="274">
        <f>$L$3022</f>
        <v>-1.5714680997571251</v>
      </c>
      <c r="O3463" s="274">
        <f>$M$3022</f>
        <v>-0.22258156188871145</v>
      </c>
      <c r="P3463" s="274">
        <f>$N$3022</f>
        <v>-0.40113008159725605</v>
      </c>
      <c r="Q3463" s="274">
        <f>$O$3022</f>
        <v>-0.40315426433770318</v>
      </c>
      <c r="R3463" s="274">
        <f>$P$3022</f>
        <v>0</v>
      </c>
      <c r="S3463" s="274">
        <f>$Q$3022</f>
        <v>0</v>
      </c>
      <c r="T3463" s="274">
        <f>$R$3022</f>
        <v>0</v>
      </c>
      <c r="U3463" s="274">
        <f>$S$3022</f>
        <v>0</v>
      </c>
      <c r="V3463" s="291"/>
      <c r="W3463" s="291"/>
      <c r="X3463" s="265"/>
    </row>
    <row r="3465" spans="1:24" ht="21" customHeight="1">
      <c r="A3465" s="1" t="s">
        <v>698</v>
      </c>
    </row>
    <row r="3466" spans="1:24">
      <c r="A3466" s="264" t="s">
        <v>217</v>
      </c>
    </row>
    <row r="3467" spans="1:24">
      <c r="A3467" s="269" t="s">
        <v>1136</v>
      </c>
    </row>
    <row r="3468" spans="1:24">
      <c r="A3468" s="269" t="s">
        <v>1135</v>
      </c>
    </row>
    <row r="3469" spans="1:24">
      <c r="A3469" s="269" t="s">
        <v>1134</v>
      </c>
    </row>
    <row r="3470" spans="1:24">
      <c r="A3470" s="269" t="s">
        <v>1381</v>
      </c>
    </row>
    <row r="3471" spans="1:24">
      <c r="A3471" s="269" t="s">
        <v>699</v>
      </c>
    </row>
    <row r="3472" spans="1:24">
      <c r="A3472" s="264" t="s">
        <v>303</v>
      </c>
    </row>
    <row r="3474" spans="1:24" ht="30">
      <c r="B3474" s="284" t="s">
        <v>22</v>
      </c>
      <c r="C3474" s="284" t="s">
        <v>182</v>
      </c>
      <c r="D3474" s="284" t="s">
        <v>183</v>
      </c>
      <c r="E3474" s="284" t="s">
        <v>184</v>
      </c>
      <c r="F3474" s="284" t="s">
        <v>185</v>
      </c>
      <c r="G3474" s="284" t="s">
        <v>186</v>
      </c>
      <c r="H3474" s="284" t="s">
        <v>187</v>
      </c>
      <c r="I3474" s="284" t="s">
        <v>188</v>
      </c>
      <c r="J3474" s="284" t="s">
        <v>189</v>
      </c>
      <c r="K3474" s="284" t="s">
        <v>326</v>
      </c>
      <c r="L3474" s="284" t="s">
        <v>333</v>
      </c>
      <c r="M3474" s="284" t="s">
        <v>170</v>
      </c>
      <c r="N3474" s="284" t="s">
        <v>567</v>
      </c>
      <c r="O3474" s="284" t="s">
        <v>568</v>
      </c>
      <c r="P3474" s="284" t="s">
        <v>569</v>
      </c>
      <c r="Q3474" s="284" t="s">
        <v>570</v>
      </c>
      <c r="R3474" s="284" t="s">
        <v>571</v>
      </c>
      <c r="S3474" s="284" t="s">
        <v>572</v>
      </c>
      <c r="T3474" s="284" t="s">
        <v>573</v>
      </c>
      <c r="U3474" s="284" t="s">
        <v>574</v>
      </c>
      <c r="V3474" s="284" t="s">
        <v>575</v>
      </c>
      <c r="W3474" s="284" t="s">
        <v>576</v>
      </c>
    </row>
    <row r="3475" spans="1:24">
      <c r="A3475" s="285" t="s">
        <v>54</v>
      </c>
      <c r="B3475" s="291"/>
      <c r="C3475" s="291"/>
      <c r="D3475" s="291"/>
      <c r="E3475" s="291"/>
      <c r="F3475" s="291"/>
      <c r="G3475" s="291"/>
      <c r="H3475" s="291"/>
      <c r="I3475" s="291"/>
      <c r="J3475" s="291"/>
      <c r="K3475" s="291"/>
      <c r="L3475" s="291"/>
      <c r="M3475" s="291"/>
      <c r="N3475" s="291"/>
      <c r="O3475" s="291"/>
      <c r="P3475" s="291"/>
      <c r="Q3475" s="291"/>
      <c r="R3475" s="291"/>
      <c r="S3475" s="291"/>
      <c r="T3475" s="291"/>
      <c r="U3475" s="291"/>
      <c r="V3475" s="291"/>
      <c r="W3475" s="291"/>
      <c r="X3475" s="265"/>
    </row>
    <row r="3476" spans="1:24">
      <c r="A3476" s="285" t="s">
        <v>55</v>
      </c>
      <c r="B3476" s="274">
        <f>$B$3180</f>
        <v>0</v>
      </c>
      <c r="C3476" s="274">
        <f>$C$3180</f>
        <v>3.2431504585552801E-2</v>
      </c>
      <c r="D3476" s="274">
        <f>$D$3180</f>
        <v>4.5935739619333759E-3</v>
      </c>
      <c r="E3476" s="274">
        <f>$E$3180</f>
        <v>1.6368138725240927E-2</v>
      </c>
      <c r="F3476" s="274">
        <f>$F$3180</f>
        <v>3.1256397700577024E-3</v>
      </c>
      <c r="G3476" s="274">
        <f>$G$3180</f>
        <v>0</v>
      </c>
      <c r="H3476" s="274">
        <f>$H$3180</f>
        <v>1.1131676340240093E-2</v>
      </c>
      <c r="I3476" s="274">
        <f>$I$3180</f>
        <v>1.2483379069688385E-3</v>
      </c>
      <c r="J3476" s="274">
        <f>$J$3180</f>
        <v>0</v>
      </c>
      <c r="K3476" s="291"/>
      <c r="L3476" s="291"/>
      <c r="M3476" s="274">
        <f>$K$3180</f>
        <v>0</v>
      </c>
      <c r="N3476" s="274">
        <f>$L$3180</f>
        <v>2.1358145603654684E-2</v>
      </c>
      <c r="O3476" s="274">
        <f>$M$3180</f>
        <v>3.0251517089291921E-3</v>
      </c>
      <c r="P3476" s="274">
        <f>$N$3180</f>
        <v>1.0779428664257748E-2</v>
      </c>
      <c r="Q3476" s="274">
        <f>$O$3180</f>
        <v>1.083382382048036E-2</v>
      </c>
      <c r="R3476" s="274">
        <f>$P$3180</f>
        <v>0</v>
      </c>
      <c r="S3476" s="274">
        <f>$Q$3180</f>
        <v>3.8583659400566295E-2</v>
      </c>
      <c r="T3476" s="274">
        <f>$R$3180</f>
        <v>1.6442149767839705E-2</v>
      </c>
      <c r="U3476" s="274">
        <f>$S$3180</f>
        <v>0</v>
      </c>
      <c r="V3476" s="291"/>
      <c r="W3476" s="291"/>
      <c r="X3476" s="265"/>
    </row>
    <row r="3477" spans="1:24">
      <c r="A3477" s="285" t="s">
        <v>91</v>
      </c>
      <c r="B3477" s="291"/>
      <c r="C3477" s="291"/>
      <c r="D3477" s="291"/>
      <c r="E3477" s="291"/>
      <c r="F3477" s="291"/>
      <c r="G3477" s="291"/>
      <c r="H3477" s="291"/>
      <c r="I3477" s="291"/>
      <c r="J3477" s="291"/>
      <c r="K3477" s="291"/>
      <c r="L3477" s="291"/>
      <c r="M3477" s="291"/>
      <c r="N3477" s="291"/>
      <c r="O3477" s="291"/>
      <c r="P3477" s="291"/>
      <c r="Q3477" s="291"/>
      <c r="R3477" s="291"/>
      <c r="S3477" s="291"/>
      <c r="T3477" s="291"/>
      <c r="U3477" s="291"/>
      <c r="V3477" s="291"/>
      <c r="W3477" s="291"/>
      <c r="X3477" s="265"/>
    </row>
    <row r="3478" spans="1:24">
      <c r="A3478" s="285" t="s">
        <v>56</v>
      </c>
      <c r="B3478" s="291"/>
      <c r="C3478" s="291"/>
      <c r="D3478" s="291"/>
      <c r="E3478" s="291"/>
      <c r="F3478" s="291"/>
      <c r="G3478" s="291"/>
      <c r="H3478" s="291"/>
      <c r="I3478" s="291"/>
      <c r="J3478" s="291"/>
      <c r="K3478" s="291"/>
      <c r="L3478" s="291"/>
      <c r="M3478" s="291"/>
      <c r="N3478" s="291"/>
      <c r="O3478" s="291"/>
      <c r="P3478" s="291"/>
      <c r="Q3478" s="291"/>
      <c r="R3478" s="291"/>
      <c r="S3478" s="291"/>
      <c r="T3478" s="291"/>
      <c r="U3478" s="291"/>
      <c r="V3478" s="291"/>
      <c r="W3478" s="291"/>
      <c r="X3478" s="265"/>
    </row>
    <row r="3479" spans="1:24">
      <c r="A3479" s="285" t="s">
        <v>57</v>
      </c>
      <c r="B3479" s="274">
        <f>$B$3181</f>
        <v>0</v>
      </c>
      <c r="C3479" s="274">
        <f>$C$3181</f>
        <v>3.0990227752351746E-2</v>
      </c>
      <c r="D3479" s="274">
        <f>$D$3181</f>
        <v>4.3894325933001299E-3</v>
      </c>
      <c r="E3479" s="274">
        <f>$E$3181</f>
        <v>1.5879112402178455E-2</v>
      </c>
      <c r="F3479" s="274">
        <f>$F$3181</f>
        <v>3.032255900967441E-3</v>
      </c>
      <c r="G3479" s="274">
        <f>$G$3181</f>
        <v>0</v>
      </c>
      <c r="H3479" s="274">
        <f>$H$3181</f>
        <v>1.0799098345785872E-2</v>
      </c>
      <c r="I3479" s="274">
        <f>$I$3181</f>
        <v>1.2110416629161731E-3</v>
      </c>
      <c r="J3479" s="274">
        <f>$J$3181</f>
        <v>0</v>
      </c>
      <c r="K3479" s="291"/>
      <c r="L3479" s="291"/>
      <c r="M3479" s="274">
        <f>$K$3181</f>
        <v>0</v>
      </c>
      <c r="N3479" s="274">
        <f>$L$3181</f>
        <v>2.0408975935085089E-2</v>
      </c>
      <c r="O3479" s="274">
        <f>$M$3181</f>
        <v>2.8907120296507746E-3</v>
      </c>
      <c r="P3479" s="274">
        <f>$N$3181</f>
        <v>1.0457374675537137E-2</v>
      </c>
      <c r="Q3479" s="274">
        <f>$O$3181</f>
        <v>1.0510144682823361E-2</v>
      </c>
      <c r="R3479" s="274">
        <f>$P$3181</f>
        <v>0</v>
      </c>
      <c r="S3479" s="274">
        <f>$Q$3181</f>
        <v>3.7430906152094795E-2</v>
      </c>
      <c r="T3479" s="274">
        <f>$R$3181</f>
        <v>1.5950912237465541E-2</v>
      </c>
      <c r="U3479" s="274">
        <f>$S$3181</f>
        <v>0</v>
      </c>
      <c r="V3479" s="291"/>
      <c r="W3479" s="291"/>
      <c r="X3479" s="265"/>
    </row>
    <row r="3480" spans="1:24">
      <c r="A3480" s="285" t="s">
        <v>92</v>
      </c>
      <c r="B3480" s="291"/>
      <c r="C3480" s="291"/>
      <c r="D3480" s="291"/>
      <c r="E3480" s="291"/>
      <c r="F3480" s="291"/>
      <c r="G3480" s="291"/>
      <c r="H3480" s="291"/>
      <c r="I3480" s="291"/>
      <c r="J3480" s="291"/>
      <c r="K3480" s="291"/>
      <c r="L3480" s="291"/>
      <c r="M3480" s="291"/>
      <c r="N3480" s="291"/>
      <c r="O3480" s="291"/>
      <c r="P3480" s="291"/>
      <c r="Q3480" s="291"/>
      <c r="R3480" s="291"/>
      <c r="S3480" s="291"/>
      <c r="T3480" s="291"/>
      <c r="U3480" s="291"/>
      <c r="V3480" s="291"/>
      <c r="W3480" s="291"/>
      <c r="X3480" s="265"/>
    </row>
    <row r="3481" spans="1:24">
      <c r="A3481" s="285" t="s">
        <v>58</v>
      </c>
      <c r="B3481" s="274">
        <f>$B$3182</f>
        <v>0</v>
      </c>
      <c r="C3481" s="274">
        <f>$C$3182</f>
        <v>2.6790330495659598E-2</v>
      </c>
      <c r="D3481" s="274">
        <f>$D$3182</f>
        <v>3.7945622988849082E-3</v>
      </c>
      <c r="E3481" s="274">
        <f>$E$3182</f>
        <v>1.2724665294283637E-2</v>
      </c>
      <c r="F3481" s="274">
        <f>$F$3182</f>
        <v>2.4298865357948942E-3</v>
      </c>
      <c r="G3481" s="274">
        <f>$G$3182</f>
        <v>0</v>
      </c>
      <c r="H3481" s="274">
        <f>$H$3182</f>
        <v>8.6538156825015835E-3</v>
      </c>
      <c r="I3481" s="274">
        <f>$I$3182</f>
        <v>9.7046355159793797E-4</v>
      </c>
      <c r="J3481" s="274">
        <f>$J$3182</f>
        <v>0</v>
      </c>
      <c r="K3481" s="291"/>
      <c r="L3481" s="291"/>
      <c r="M3481" s="274">
        <f>$K$3182</f>
        <v>0</v>
      </c>
      <c r="N3481" s="274">
        <f>$L$3182</f>
        <v>1.7643084611967754E-2</v>
      </c>
      <c r="O3481" s="274">
        <f>$M$3182</f>
        <v>2.4989532591042775E-3</v>
      </c>
      <c r="P3481" s="274">
        <f>$N$3182</f>
        <v>8.3799767413241938E-3</v>
      </c>
      <c r="Q3481" s="274">
        <f>$O$3182</f>
        <v>8.4222637825193923E-3</v>
      </c>
      <c r="R3481" s="274">
        <f>$P$3182</f>
        <v>0</v>
      </c>
      <c r="S3481" s="274">
        <f>$Q$3182</f>
        <v>2.9995111841503524E-2</v>
      </c>
      <c r="T3481" s="274">
        <f>$R$3182</f>
        <v>1.2782201814529411E-2</v>
      </c>
      <c r="U3481" s="274">
        <f>$S$3182</f>
        <v>0</v>
      </c>
      <c r="V3481" s="291"/>
      <c r="W3481" s="291"/>
      <c r="X3481" s="265"/>
    </row>
    <row r="3482" spans="1:24">
      <c r="A3482" s="285" t="s">
        <v>59</v>
      </c>
      <c r="B3482" s="274">
        <f>$B$3183</f>
        <v>0</v>
      </c>
      <c r="C3482" s="274">
        <f>$C$3183</f>
        <v>2.6538639214304698E-2</v>
      </c>
      <c r="D3482" s="274">
        <f>$D$3183</f>
        <v>3.7589129347480187E-3</v>
      </c>
      <c r="E3482" s="274">
        <f>$E$3183</f>
        <v>1.2605118903721214E-2</v>
      </c>
      <c r="F3482" s="274">
        <f>$F$3183</f>
        <v>2.4070581031318365E-3</v>
      </c>
      <c r="G3482" s="274">
        <f>$G$3183</f>
        <v>0</v>
      </c>
      <c r="H3482" s="274">
        <f>$H$3183</f>
        <v>8.5725143354319442E-3</v>
      </c>
      <c r="I3482" s="274">
        <f>$I$3183</f>
        <v>0</v>
      </c>
      <c r="J3482" s="274">
        <f>$J$3183</f>
        <v>0</v>
      </c>
      <c r="K3482" s="291"/>
      <c r="L3482" s="291"/>
      <c r="M3482" s="274">
        <f>$K$3183</f>
        <v>0</v>
      </c>
      <c r="N3482" s="274">
        <f>$L$3183</f>
        <v>1.7477330383076903E-2</v>
      </c>
      <c r="O3482" s="274">
        <f>$M$3183</f>
        <v>2.4754759545621823E-3</v>
      </c>
      <c r="P3482" s="274">
        <f>$N$3183</f>
        <v>8.3012480715121562E-3</v>
      </c>
      <c r="Q3482" s="274">
        <f>$O$3183</f>
        <v>8.3431378320696671E-3</v>
      </c>
      <c r="R3482" s="274">
        <f>$P$3183</f>
        <v>0</v>
      </c>
      <c r="S3482" s="274">
        <f>$Q$3183</f>
        <v>2.9713312102788297E-2</v>
      </c>
      <c r="T3482" s="274">
        <f>$R$3183</f>
        <v>0</v>
      </c>
      <c r="U3482" s="274">
        <f>$S$3183</f>
        <v>0</v>
      </c>
      <c r="V3482" s="291"/>
      <c r="W3482" s="291"/>
      <c r="X3482" s="265"/>
    </row>
    <row r="3483" spans="1:24">
      <c r="A3483" s="285" t="s">
        <v>72</v>
      </c>
      <c r="B3483" s="274">
        <f>$B$3184</f>
        <v>0</v>
      </c>
      <c r="C3483" s="274">
        <f>$C$3184</f>
        <v>2.7421172282789254E-2</v>
      </c>
      <c r="D3483" s="274">
        <f>$D$3184</f>
        <v>1.2816917044856169E-3</v>
      </c>
      <c r="E3483" s="274">
        <f>$E$3184</f>
        <v>3.4384145870699359E-3</v>
      </c>
      <c r="F3483" s="274">
        <f>$F$3184</f>
        <v>0</v>
      </c>
      <c r="G3483" s="274">
        <f>$G$3184</f>
        <v>0</v>
      </c>
      <c r="H3483" s="274">
        <f>$H$3184</f>
        <v>0</v>
      </c>
      <c r="I3483" s="274">
        <f>$I$3184</f>
        <v>0</v>
      </c>
      <c r="J3483" s="274">
        <f>$J$3184</f>
        <v>0</v>
      </c>
      <c r="K3483" s="291"/>
      <c r="L3483" s="291"/>
      <c r="M3483" s="274">
        <f>$K$3184</f>
        <v>0</v>
      </c>
      <c r="N3483" s="274">
        <f>$L$3184</f>
        <v>1.8058532828588169E-2</v>
      </c>
      <c r="O3483" s="274">
        <f>$M$3184</f>
        <v>2.5577970326136111E-3</v>
      </c>
      <c r="P3483" s="274">
        <f>$N$3184</f>
        <v>6.8618425140174067E-3</v>
      </c>
      <c r="Q3483" s="274">
        <f>$O$3184</f>
        <v>0</v>
      </c>
      <c r="R3483" s="274">
        <f>$P$3184</f>
        <v>0</v>
      </c>
      <c r="S3483" s="274">
        <f>$Q$3184</f>
        <v>0</v>
      </c>
      <c r="T3483" s="274">
        <f>$R$3184</f>
        <v>0</v>
      </c>
      <c r="U3483" s="274">
        <f>$S$3184</f>
        <v>0</v>
      </c>
      <c r="V3483" s="291"/>
      <c r="W3483" s="291"/>
      <c r="X3483" s="265"/>
    </row>
    <row r="3484" spans="1:24">
      <c r="A3484" s="285" t="s">
        <v>1178</v>
      </c>
      <c r="B3484" s="274">
        <f>$B$3185</f>
        <v>0</v>
      </c>
      <c r="C3484" s="274">
        <f>$C$3185</f>
        <v>5.8551910565526E-2</v>
      </c>
      <c r="D3484" s="274">
        <f>$D$3185</f>
        <v>8.2932486553542826E-3</v>
      </c>
      <c r="E3484" s="274">
        <f>$E$3185</f>
        <v>7.2025735664782778E-2</v>
      </c>
      <c r="F3484" s="274">
        <f>$F$3185</f>
        <v>1.3753946471283642E-2</v>
      </c>
      <c r="G3484" s="274">
        <f>$G$3185</f>
        <v>0</v>
      </c>
      <c r="H3484" s="274">
        <f>$H$3185</f>
        <v>4.8983405568995025E-2</v>
      </c>
      <c r="I3484" s="274">
        <f>$I$3185</f>
        <v>5.4931386895575281E-3</v>
      </c>
      <c r="J3484" s="274">
        <f>$J$3185</f>
        <v>0</v>
      </c>
      <c r="K3484" s="291"/>
      <c r="L3484" s="291"/>
      <c r="M3484" s="274">
        <f>$K$3185</f>
        <v>0</v>
      </c>
      <c r="N3484" s="274">
        <f>$L$3185</f>
        <v>3.8560043612276822E-2</v>
      </c>
      <c r="O3484" s="274">
        <f>$M$3185</f>
        <v>5.4616156287511626E-3</v>
      </c>
      <c r="P3484" s="274">
        <f>$N$3185</f>
        <v>4.7433388280852515E-2</v>
      </c>
      <c r="Q3484" s="274">
        <f>$O$3185</f>
        <v>4.7672746659303489E-2</v>
      </c>
      <c r="R3484" s="274">
        <f>$P$3185</f>
        <v>0</v>
      </c>
      <c r="S3484" s="274">
        <f>$Q$3185</f>
        <v>0.16978206866488385</v>
      </c>
      <c r="T3484" s="274">
        <f>$R$3185</f>
        <v>7.2351411044248762E-2</v>
      </c>
      <c r="U3484" s="274">
        <f>$S$3185</f>
        <v>0</v>
      </c>
      <c r="V3484" s="291"/>
      <c r="W3484" s="291"/>
      <c r="X3484" s="265"/>
    </row>
    <row r="3485" spans="1:24">
      <c r="A3485" s="285" t="s">
        <v>1177</v>
      </c>
      <c r="B3485" s="274">
        <f>$B$3186</f>
        <v>0</v>
      </c>
      <c r="C3485" s="274">
        <f>$C$3186</f>
        <v>5.9699522497980453E-2</v>
      </c>
      <c r="D3485" s="274">
        <f>$D$3186</f>
        <v>8.4557955479111924E-3</v>
      </c>
      <c r="E3485" s="274">
        <f>$E$3186</f>
        <v>7.3462732618221893E-2</v>
      </c>
      <c r="F3485" s="274">
        <f>$F$3186</f>
        <v>1.4028353653585608E-2</v>
      </c>
      <c r="G3485" s="274">
        <f>$G$3186</f>
        <v>0</v>
      </c>
      <c r="H3485" s="274">
        <f>$H$3186</f>
        <v>4.9960681315254926E-2</v>
      </c>
      <c r="I3485" s="274">
        <f>$I$3186</f>
        <v>5.6027331767065482E-3</v>
      </c>
      <c r="J3485" s="274">
        <f>$J$3186</f>
        <v>0</v>
      </c>
      <c r="K3485" s="291"/>
      <c r="L3485" s="291"/>
      <c r="M3485" s="274">
        <f>$K$3186</f>
        <v>0</v>
      </c>
      <c r="N3485" s="274">
        <f>$L$3186</f>
        <v>3.9315816835353637E-2</v>
      </c>
      <c r="O3485" s="274">
        <f>$M$3186</f>
        <v>5.5686627806800513E-3</v>
      </c>
      <c r="P3485" s="274">
        <f>$N$3186</f>
        <v>4.8379739384687301E-2</v>
      </c>
      <c r="Q3485" s="274">
        <f>$O$3186</f>
        <v>4.8623873240367897E-2</v>
      </c>
      <c r="R3485" s="274">
        <f>$P$3186</f>
        <v>0</v>
      </c>
      <c r="S3485" s="274">
        <f>$Q$3186</f>
        <v>0.17316941782790424</v>
      </c>
      <c r="T3485" s="274">
        <f>$R$3186</f>
        <v>7.3794905599188013E-2</v>
      </c>
      <c r="U3485" s="274">
        <f>$S$3186</f>
        <v>0</v>
      </c>
      <c r="V3485" s="291"/>
      <c r="W3485" s="291"/>
      <c r="X3485" s="265"/>
    </row>
    <row r="3486" spans="1:24">
      <c r="A3486" s="285" t="s">
        <v>60</v>
      </c>
      <c r="B3486" s="274">
        <f>$B$3187</f>
        <v>0</v>
      </c>
      <c r="C3486" s="274">
        <f>$C$3187</f>
        <v>4.7124447871486785E-2</v>
      </c>
      <c r="D3486" s="274">
        <f>$D$3187</f>
        <v>6.6746714184015626E-3</v>
      </c>
      <c r="E3486" s="274">
        <f>$E$3187</f>
        <v>5.797271883124553E-2</v>
      </c>
      <c r="F3486" s="274">
        <f>$F$3187</f>
        <v>1.1070399548721263E-2</v>
      </c>
      <c r="G3486" s="274">
        <f>$G$3187</f>
        <v>0</v>
      </c>
      <c r="H3486" s="274">
        <f>$H$3187</f>
        <v>3.1540961543685526E-2</v>
      </c>
      <c r="I3486" s="274">
        <f>$I$3187</f>
        <v>0</v>
      </c>
      <c r="J3486" s="274">
        <f>$J$3187</f>
        <v>0</v>
      </c>
      <c r="K3486" s="291"/>
      <c r="L3486" s="291"/>
      <c r="M3486" s="274">
        <f>$K$3187</f>
        <v>0</v>
      </c>
      <c r="N3486" s="274">
        <f>$L$3187</f>
        <v>3.103435477302554E-2</v>
      </c>
      <c r="O3486" s="274">
        <f>$M$3187</f>
        <v>4.3956827113805323E-3</v>
      </c>
      <c r="P3486" s="274">
        <f>$N$3187</f>
        <v>3.8178610140371043E-2</v>
      </c>
      <c r="Q3486" s="274">
        <f>$O$3187</f>
        <v>3.8371267054538825E-2</v>
      </c>
      <c r="R3486" s="274">
        <f>$P$3187</f>
        <v>0</v>
      </c>
      <c r="S3486" s="274">
        <f>$Q$3187</f>
        <v>0.10932456893025995</v>
      </c>
      <c r="T3486" s="274">
        <f>$R$3187</f>
        <v>0</v>
      </c>
      <c r="U3486" s="274">
        <f>$S$3187</f>
        <v>0</v>
      </c>
      <c r="V3486" s="291"/>
      <c r="W3486" s="291"/>
      <c r="X3486" s="265"/>
    </row>
    <row r="3487" spans="1:24">
      <c r="A3487" s="285" t="s">
        <v>61</v>
      </c>
      <c r="B3487" s="274">
        <f>$B$3188</f>
        <v>0</v>
      </c>
      <c r="C3487" s="274">
        <f>$C$3188</f>
        <v>4.4395192110966646E-2</v>
      </c>
      <c r="D3487" s="274">
        <f>$D$3188</f>
        <v>6.2881016814376189E-3</v>
      </c>
      <c r="E3487" s="274">
        <f>$E$3188</f>
        <v>5.4615175475943419E-2</v>
      </c>
      <c r="F3487" s="274">
        <f>$F$3188</f>
        <v>1.0429247172315631E-2</v>
      </c>
      <c r="G3487" s="274">
        <f>$G$3188</f>
        <v>0</v>
      </c>
      <c r="H3487" s="274">
        <f>$H$3188</f>
        <v>0</v>
      </c>
      <c r="I3487" s="274">
        <f>$I$3188</f>
        <v>0</v>
      </c>
      <c r="J3487" s="274">
        <f>$J$3188</f>
        <v>0</v>
      </c>
      <c r="K3487" s="291"/>
      <c r="L3487" s="291"/>
      <c r="M3487" s="274">
        <f>$K$3188</f>
        <v>0</v>
      </c>
      <c r="N3487" s="274">
        <f>$L$3188</f>
        <v>2.9236971559766605E-2</v>
      </c>
      <c r="O3487" s="274">
        <f>$M$3188</f>
        <v>4.1411027024184956E-3</v>
      </c>
      <c r="P3487" s="274">
        <f>$N$3188</f>
        <v>3.5967460803652616E-2</v>
      </c>
      <c r="Q3487" s="274">
        <f>$O$3188</f>
        <v>3.6148959815361134E-2</v>
      </c>
      <c r="R3487" s="274">
        <f>$P$3188</f>
        <v>0</v>
      </c>
      <c r="S3487" s="274">
        <f>$Q$3188</f>
        <v>0</v>
      </c>
      <c r="T3487" s="274">
        <f>$R$3188</f>
        <v>0</v>
      </c>
      <c r="U3487" s="274">
        <f>$S$3188</f>
        <v>0</v>
      </c>
      <c r="V3487" s="291"/>
      <c r="W3487" s="291"/>
      <c r="X3487" s="265"/>
    </row>
    <row r="3488" spans="1:24">
      <c r="A3488" s="285" t="s">
        <v>73</v>
      </c>
      <c r="B3488" s="274">
        <f>$B$3189</f>
        <v>0</v>
      </c>
      <c r="C3488" s="274">
        <f>$C$3189</f>
        <v>4.0362589131470582E-2</v>
      </c>
      <c r="D3488" s="274">
        <f>$D$3189</f>
        <v>1.8865858515405894E-3</v>
      </c>
      <c r="E3488" s="274">
        <f>$E$3189</f>
        <v>1.3108721525478227E-2</v>
      </c>
      <c r="F3488" s="274">
        <f>$F$3189</f>
        <v>0</v>
      </c>
      <c r="G3488" s="274">
        <f>$G$3189</f>
        <v>0</v>
      </c>
      <c r="H3488" s="274">
        <f>$H$3189</f>
        <v>0</v>
      </c>
      <c r="I3488" s="274">
        <f>$I$3189</f>
        <v>0</v>
      </c>
      <c r="J3488" s="274">
        <f>$J$3189</f>
        <v>0</v>
      </c>
      <c r="K3488" s="291"/>
      <c r="L3488" s="291"/>
      <c r="M3488" s="274">
        <f>$K$3189</f>
        <v>0</v>
      </c>
      <c r="N3488" s="274">
        <f>$L$3189</f>
        <v>2.6581253834102522E-2</v>
      </c>
      <c r="O3488" s="274">
        <f>$M$3189</f>
        <v>3.7649488375037657E-3</v>
      </c>
      <c r="P3488" s="274">
        <f>$N$3189</f>
        <v>2.6160307429533375E-2</v>
      </c>
      <c r="Q3488" s="274">
        <f>$O$3189</f>
        <v>0</v>
      </c>
      <c r="R3488" s="274">
        <f>$P$3189</f>
        <v>0</v>
      </c>
      <c r="S3488" s="274">
        <f>$Q$3189</f>
        <v>0</v>
      </c>
      <c r="T3488" s="274">
        <f>$R$3189</f>
        <v>0</v>
      </c>
      <c r="U3488" s="274">
        <f>$S$3189</f>
        <v>0</v>
      </c>
      <c r="V3488" s="291"/>
      <c r="W3488" s="291"/>
      <c r="X3488" s="265"/>
    </row>
    <row r="3489" spans="1:24">
      <c r="A3489" s="285" t="s">
        <v>93</v>
      </c>
      <c r="B3489" s="291"/>
      <c r="C3489" s="291"/>
      <c r="D3489" s="291"/>
      <c r="E3489" s="291"/>
      <c r="F3489" s="291"/>
      <c r="G3489" s="291"/>
      <c r="H3489" s="291"/>
      <c r="I3489" s="291"/>
      <c r="J3489" s="291"/>
      <c r="K3489" s="291"/>
      <c r="L3489" s="291"/>
      <c r="M3489" s="291"/>
      <c r="N3489" s="291"/>
      <c r="O3489" s="291"/>
      <c r="P3489" s="291"/>
      <c r="Q3489" s="291"/>
      <c r="R3489" s="291"/>
      <c r="S3489" s="291"/>
      <c r="T3489" s="291"/>
      <c r="U3489" s="291"/>
      <c r="V3489" s="291"/>
      <c r="W3489" s="291"/>
      <c r="X3489" s="265"/>
    </row>
    <row r="3490" spans="1:24">
      <c r="A3490" s="285" t="s">
        <v>94</v>
      </c>
      <c r="B3490" s="291"/>
      <c r="C3490" s="291"/>
      <c r="D3490" s="291"/>
      <c r="E3490" s="291"/>
      <c r="F3490" s="291"/>
      <c r="G3490" s="291"/>
      <c r="H3490" s="291"/>
      <c r="I3490" s="291"/>
      <c r="J3490" s="291"/>
      <c r="K3490" s="291"/>
      <c r="L3490" s="291"/>
      <c r="M3490" s="291"/>
      <c r="N3490" s="291"/>
      <c r="O3490" s="291"/>
      <c r="P3490" s="291"/>
      <c r="Q3490" s="291"/>
      <c r="R3490" s="291"/>
      <c r="S3490" s="291"/>
      <c r="T3490" s="291"/>
      <c r="U3490" s="291"/>
      <c r="V3490" s="291"/>
      <c r="W3490" s="291"/>
      <c r="X3490" s="265"/>
    </row>
    <row r="3491" spans="1:24">
      <c r="A3491" s="285" t="s">
        <v>95</v>
      </c>
      <c r="B3491" s="291"/>
      <c r="C3491" s="291"/>
      <c r="D3491" s="291"/>
      <c r="E3491" s="291"/>
      <c r="F3491" s="291"/>
      <c r="G3491" s="291"/>
      <c r="H3491" s="291"/>
      <c r="I3491" s="291"/>
      <c r="J3491" s="291"/>
      <c r="K3491" s="291"/>
      <c r="L3491" s="291"/>
      <c r="M3491" s="291"/>
      <c r="N3491" s="291"/>
      <c r="O3491" s="291"/>
      <c r="P3491" s="291"/>
      <c r="Q3491" s="291"/>
      <c r="R3491" s="291"/>
      <c r="S3491" s="291"/>
      <c r="T3491" s="291"/>
      <c r="U3491" s="291"/>
      <c r="V3491" s="291"/>
      <c r="W3491" s="291"/>
      <c r="X3491" s="265"/>
    </row>
    <row r="3492" spans="1:24">
      <c r="A3492" s="285" t="s">
        <v>96</v>
      </c>
      <c r="B3492" s="291"/>
      <c r="C3492" s="291"/>
      <c r="D3492" s="291"/>
      <c r="E3492" s="291"/>
      <c r="F3492" s="291"/>
      <c r="G3492" s="291"/>
      <c r="H3492" s="291"/>
      <c r="I3492" s="291"/>
      <c r="J3492" s="291"/>
      <c r="K3492" s="291"/>
      <c r="L3492" s="291"/>
      <c r="M3492" s="291"/>
      <c r="N3492" s="291"/>
      <c r="O3492" s="291"/>
      <c r="P3492" s="291"/>
      <c r="Q3492" s="291"/>
      <c r="R3492" s="291"/>
      <c r="S3492" s="291"/>
      <c r="T3492" s="291"/>
      <c r="U3492" s="291"/>
      <c r="V3492" s="291"/>
      <c r="W3492" s="291"/>
      <c r="X3492" s="265"/>
    </row>
    <row r="3493" spans="1:24">
      <c r="A3493" s="285" t="s">
        <v>97</v>
      </c>
      <c r="B3493" s="274">
        <f>$B$3044</f>
        <v>0</v>
      </c>
      <c r="C3493" s="274">
        <f>$C$3044</f>
        <v>5.2144814301400916E-2</v>
      </c>
      <c r="D3493" s="274">
        <f>$D$3044</f>
        <v>7.3857523505545253E-3</v>
      </c>
      <c r="E3493" s="274">
        <f>$E$3044</f>
        <v>5.4781029381924383E-2</v>
      </c>
      <c r="F3493" s="274">
        <f>$F$3044</f>
        <v>1.046091843153792E-2</v>
      </c>
      <c r="G3493" s="274">
        <f>$G$3044</f>
        <v>0</v>
      </c>
      <c r="H3493" s="274">
        <f>$H$3044</f>
        <v>3.7255591420690945E-2</v>
      </c>
      <c r="I3493" s="274">
        <f>$I$3044</f>
        <v>4.1779481899658303E-3</v>
      </c>
      <c r="J3493" s="274">
        <f>$J$3044</f>
        <v>8.9731295489530218E-3</v>
      </c>
      <c r="K3493" s="291"/>
      <c r="L3493" s="291"/>
      <c r="M3493" s="274">
        <f>$K$3044</f>
        <v>9.6863900528393991E-3</v>
      </c>
      <c r="N3493" s="274">
        <f>$L$3044</f>
        <v>3.4340575639558245E-2</v>
      </c>
      <c r="O3493" s="274">
        <f>$M$3044</f>
        <v>4.8639733528104377E-3</v>
      </c>
      <c r="P3493" s="274">
        <f>$N$3044</f>
        <v>3.6076685827842639E-2</v>
      </c>
      <c r="Q3493" s="274">
        <f>$O$3044</f>
        <v>3.625873601090164E-2</v>
      </c>
      <c r="R3493" s="274">
        <f>$P$3044</f>
        <v>0</v>
      </c>
      <c r="S3493" s="274">
        <f>$Q$3044</f>
        <v>0.1291321276514581</v>
      </c>
      <c r="T3493" s="274">
        <f>$R$3044</f>
        <v>5.502873018451708E-2</v>
      </c>
      <c r="U3493" s="274">
        <f>$S$3044</f>
        <v>0.11818718241790638</v>
      </c>
      <c r="V3493" s="274">
        <f>$B$2791</f>
        <v>0.95242632914781233</v>
      </c>
      <c r="W3493" s="291"/>
      <c r="X3493" s="265"/>
    </row>
    <row r="3494" spans="1:24">
      <c r="A3494" s="285" t="s">
        <v>1176</v>
      </c>
      <c r="B3494" s="291"/>
      <c r="C3494" s="291"/>
      <c r="D3494" s="291"/>
      <c r="E3494" s="291"/>
      <c r="F3494" s="291"/>
      <c r="G3494" s="291"/>
      <c r="H3494" s="291"/>
      <c r="I3494" s="291"/>
      <c r="J3494" s="291"/>
      <c r="K3494" s="291"/>
      <c r="L3494" s="291"/>
      <c r="M3494" s="291"/>
      <c r="N3494" s="291"/>
      <c r="O3494" s="291"/>
      <c r="P3494" s="291"/>
      <c r="Q3494" s="291"/>
      <c r="R3494" s="291"/>
      <c r="S3494" s="291"/>
      <c r="T3494" s="291"/>
      <c r="U3494" s="291"/>
      <c r="V3494" s="291"/>
      <c r="W3494" s="291"/>
      <c r="X3494" s="265"/>
    </row>
    <row r="3495" spans="1:24">
      <c r="A3495" s="285" t="s">
        <v>62</v>
      </c>
      <c r="B3495" s="291"/>
      <c r="C3495" s="291"/>
      <c r="D3495" s="291"/>
      <c r="E3495" s="291"/>
      <c r="F3495" s="291"/>
      <c r="G3495" s="291"/>
      <c r="H3495" s="291"/>
      <c r="I3495" s="291"/>
      <c r="J3495" s="291"/>
      <c r="K3495" s="291"/>
      <c r="L3495" s="291"/>
      <c r="M3495" s="291"/>
      <c r="N3495" s="291"/>
      <c r="O3495" s="291"/>
      <c r="P3495" s="291"/>
      <c r="Q3495" s="291"/>
      <c r="R3495" s="291"/>
      <c r="S3495" s="291"/>
      <c r="T3495" s="291"/>
      <c r="U3495" s="291"/>
      <c r="V3495" s="291"/>
      <c r="W3495" s="291"/>
      <c r="X3495" s="265"/>
    </row>
    <row r="3496" spans="1:24">
      <c r="A3496" s="285" t="s">
        <v>63</v>
      </c>
      <c r="B3496" s="291"/>
      <c r="C3496" s="291"/>
      <c r="D3496" s="291"/>
      <c r="E3496" s="291"/>
      <c r="F3496" s="291"/>
      <c r="G3496" s="291"/>
      <c r="H3496" s="291"/>
      <c r="I3496" s="291"/>
      <c r="J3496" s="291"/>
      <c r="K3496" s="291"/>
      <c r="L3496" s="291"/>
      <c r="M3496" s="291"/>
      <c r="N3496" s="291"/>
      <c r="O3496" s="291"/>
      <c r="P3496" s="291"/>
      <c r="Q3496" s="291"/>
      <c r="R3496" s="291"/>
      <c r="S3496" s="291"/>
      <c r="T3496" s="291"/>
      <c r="U3496" s="291"/>
      <c r="V3496" s="291"/>
      <c r="W3496" s="291"/>
      <c r="X3496" s="265"/>
    </row>
    <row r="3497" spans="1:24">
      <c r="A3497" s="285" t="s">
        <v>1516</v>
      </c>
      <c r="B3497" s="291"/>
      <c r="C3497" s="291"/>
      <c r="D3497" s="291"/>
      <c r="E3497" s="291"/>
      <c r="F3497" s="291"/>
      <c r="G3497" s="291"/>
      <c r="H3497" s="291"/>
      <c r="I3497" s="291"/>
      <c r="J3497" s="291"/>
      <c r="K3497" s="291"/>
      <c r="L3497" s="291"/>
      <c r="M3497" s="291"/>
      <c r="N3497" s="291"/>
      <c r="O3497" s="291"/>
      <c r="P3497" s="291"/>
      <c r="Q3497" s="291"/>
      <c r="R3497" s="291"/>
      <c r="S3497" s="291"/>
      <c r="T3497" s="291"/>
      <c r="U3497" s="291"/>
      <c r="V3497" s="291"/>
      <c r="W3497" s="291"/>
      <c r="X3497" s="265"/>
    </row>
    <row r="3498" spans="1:24">
      <c r="A3498" s="285" t="s">
        <v>64</v>
      </c>
      <c r="B3498" s="274">
        <f>$B$3045</f>
        <v>0</v>
      </c>
      <c r="C3498" s="274">
        <f>$C$3045</f>
        <v>-3.9513274316070109E-2</v>
      </c>
      <c r="D3498" s="274">
        <f>$D$3045</f>
        <v>-5.596630510009892E-3</v>
      </c>
      <c r="E3498" s="274">
        <f>$E$3045</f>
        <v>-4.8609417096500754E-2</v>
      </c>
      <c r="F3498" s="274">
        <f>$F$3045</f>
        <v>-9.2823948908649784E-3</v>
      </c>
      <c r="G3498" s="274">
        <f>$G$3045</f>
        <v>0</v>
      </c>
      <c r="H3498" s="274">
        <f>$H$3045</f>
        <v>-3.305838906237734E-2</v>
      </c>
      <c r="I3498" s="274">
        <f>$I$3045</f>
        <v>-3.7072619566479053E-3</v>
      </c>
      <c r="J3498" s="274">
        <f>$J$3045</f>
        <v>0</v>
      </c>
      <c r="K3498" s="291"/>
      <c r="L3498" s="291"/>
      <c r="M3498" s="274">
        <f>$K$3045</f>
        <v>0</v>
      </c>
      <c r="N3498" s="274">
        <f>$L$3045</f>
        <v>-2.6021927656594706E-2</v>
      </c>
      <c r="O3498" s="274">
        <f>$M$3045</f>
        <v>-3.685726297628999E-3</v>
      </c>
      <c r="P3498" s="274">
        <f>$N$3045</f>
        <v>-3.2012298575821621E-2</v>
      </c>
      <c r="Q3498" s="274">
        <f>$O$3045</f>
        <v>-3.2173839046686324E-2</v>
      </c>
      <c r="R3498" s="274">
        <f>$P$3045</f>
        <v>0</v>
      </c>
      <c r="S3498" s="274">
        <f>$Q$3045</f>
        <v>-0.11458414572325437</v>
      </c>
      <c r="T3498" s="274">
        <f>$R$3045</f>
        <v>-4.8829212010254947E-2</v>
      </c>
      <c r="U3498" s="274">
        <f>$S$3045</f>
        <v>0</v>
      </c>
      <c r="V3498" s="291"/>
      <c r="W3498" s="291"/>
      <c r="X3498" s="265"/>
    </row>
    <row r="3499" spans="1:24">
      <c r="A3499" s="285" t="s">
        <v>1517</v>
      </c>
      <c r="B3499" s="274">
        <f>$B$3046</f>
        <v>0</v>
      </c>
      <c r="C3499" s="274">
        <f>$C$3046</f>
        <v>-3.9513274316070109E-2</v>
      </c>
      <c r="D3499" s="274">
        <f>$D$3046</f>
        <v>-5.596630510009892E-3</v>
      </c>
      <c r="E3499" s="274">
        <f>$E$3046</f>
        <v>-4.8609417096500754E-2</v>
      </c>
      <c r="F3499" s="274">
        <f>$F$3046</f>
        <v>-9.2823948908649784E-3</v>
      </c>
      <c r="G3499" s="274">
        <f>$G$3046</f>
        <v>0</v>
      </c>
      <c r="H3499" s="274">
        <f>$H$3046</f>
        <v>-3.305838906237734E-2</v>
      </c>
      <c r="I3499" s="274">
        <f>$I$3046</f>
        <v>-3.7072619566479053E-3</v>
      </c>
      <c r="J3499" s="274">
        <f>$J$3046</f>
        <v>0</v>
      </c>
      <c r="K3499" s="291"/>
      <c r="L3499" s="291"/>
      <c r="M3499" s="274">
        <f>$K$3046</f>
        <v>0</v>
      </c>
      <c r="N3499" s="274">
        <f>$L$3046</f>
        <v>-2.6021927656594706E-2</v>
      </c>
      <c r="O3499" s="274">
        <f>$M$3046</f>
        <v>-3.685726297628999E-3</v>
      </c>
      <c r="P3499" s="274">
        <f>$N$3046</f>
        <v>-3.2012298575821621E-2</v>
      </c>
      <c r="Q3499" s="274">
        <f>$O$3046</f>
        <v>-3.2173839046686324E-2</v>
      </c>
      <c r="R3499" s="274">
        <f>$P$3046</f>
        <v>0</v>
      </c>
      <c r="S3499" s="274">
        <f>$Q$3046</f>
        <v>-0.11458414572325437</v>
      </c>
      <c r="T3499" s="274">
        <f>$R$3046</f>
        <v>-4.8829212010254947E-2</v>
      </c>
      <c r="U3499" s="274">
        <f>$S$3046</f>
        <v>0</v>
      </c>
      <c r="V3499" s="291"/>
      <c r="W3499" s="291"/>
      <c r="X3499" s="265"/>
    </row>
    <row r="3500" spans="1:24">
      <c r="A3500" s="285" t="s">
        <v>65</v>
      </c>
      <c r="B3500" s="291"/>
      <c r="C3500" s="291"/>
      <c r="D3500" s="291"/>
      <c r="E3500" s="291"/>
      <c r="F3500" s="291"/>
      <c r="G3500" s="291"/>
      <c r="H3500" s="291"/>
      <c r="I3500" s="291"/>
      <c r="J3500" s="291"/>
      <c r="K3500" s="291"/>
      <c r="L3500" s="291"/>
      <c r="M3500" s="291"/>
      <c r="N3500" s="291"/>
      <c r="O3500" s="291"/>
      <c r="P3500" s="291"/>
      <c r="Q3500" s="291"/>
      <c r="R3500" s="291"/>
      <c r="S3500" s="291"/>
      <c r="T3500" s="291"/>
      <c r="U3500" s="291"/>
      <c r="V3500" s="291"/>
      <c r="W3500" s="291"/>
      <c r="X3500" s="265"/>
    </row>
    <row r="3501" spans="1:24">
      <c r="A3501" s="285" t="s">
        <v>1518</v>
      </c>
      <c r="B3501" s="291"/>
      <c r="C3501" s="291"/>
      <c r="D3501" s="291"/>
      <c r="E3501" s="291"/>
      <c r="F3501" s="291"/>
      <c r="G3501" s="291"/>
      <c r="H3501" s="291"/>
      <c r="I3501" s="291"/>
      <c r="J3501" s="291"/>
      <c r="K3501" s="291"/>
      <c r="L3501" s="291"/>
      <c r="M3501" s="291"/>
      <c r="N3501" s="291"/>
      <c r="O3501" s="291"/>
      <c r="P3501" s="291"/>
      <c r="Q3501" s="291"/>
      <c r="R3501" s="291"/>
      <c r="S3501" s="291"/>
      <c r="T3501" s="291"/>
      <c r="U3501" s="291"/>
      <c r="V3501" s="291"/>
      <c r="W3501" s="291"/>
      <c r="X3501" s="265"/>
    </row>
    <row r="3502" spans="1:24">
      <c r="A3502" s="285" t="s">
        <v>66</v>
      </c>
      <c r="B3502" s="274">
        <f>$B$3047</f>
        <v>0</v>
      </c>
      <c r="C3502" s="274">
        <f>$C$3047</f>
        <v>-3.9029590167191659E-2</v>
      </c>
      <c r="D3502" s="274">
        <f>$D$3047</f>
        <v>-5.5281218502828394E-3</v>
      </c>
      <c r="E3502" s="274">
        <f>$E$3047</f>
        <v>-4.8014386567070896E-2</v>
      </c>
      <c r="F3502" s="274">
        <f>$F$3047</f>
        <v>-9.1687685880577768E-3</v>
      </c>
      <c r="G3502" s="274">
        <f>$G$3047</f>
        <v>0</v>
      </c>
      <c r="H3502" s="274">
        <f>$H$3047</f>
        <v>-3.265371951641604E-2</v>
      </c>
      <c r="I3502" s="274">
        <f>$I$3047</f>
        <v>0</v>
      </c>
      <c r="J3502" s="274">
        <f>$J$3047</f>
        <v>0</v>
      </c>
      <c r="K3502" s="291"/>
      <c r="L3502" s="291"/>
      <c r="M3502" s="274">
        <f>$K$3047</f>
        <v>0</v>
      </c>
      <c r="N3502" s="274">
        <f>$L$3047</f>
        <v>-2.570339181899044E-2</v>
      </c>
      <c r="O3502" s="274">
        <f>$M$3047</f>
        <v>-3.6406091207277021E-3</v>
      </c>
      <c r="P3502" s="274">
        <f>$N$3047</f>
        <v>-3.1620434280637363E-2</v>
      </c>
      <c r="Q3502" s="274">
        <f>$O$3047</f>
        <v>-3.1779997325775848E-2</v>
      </c>
      <c r="R3502" s="274">
        <f>$P$3047</f>
        <v>0</v>
      </c>
      <c r="S3502" s="274">
        <f>$Q$3047</f>
        <v>-0.11318151493756481</v>
      </c>
      <c r="T3502" s="274">
        <f>$R$3047</f>
        <v>0</v>
      </c>
      <c r="U3502" s="274">
        <f>$S$3047</f>
        <v>0</v>
      </c>
      <c r="V3502" s="291"/>
      <c r="W3502" s="291"/>
      <c r="X3502" s="265"/>
    </row>
    <row r="3503" spans="1:24">
      <c r="A3503" s="285" t="s">
        <v>1519</v>
      </c>
      <c r="B3503" s="274">
        <f>$B$3048</f>
        <v>0</v>
      </c>
      <c r="C3503" s="274">
        <f>$C$3048</f>
        <v>-3.9029590167191659E-2</v>
      </c>
      <c r="D3503" s="274">
        <f>$D$3048</f>
        <v>-5.5281218502828394E-3</v>
      </c>
      <c r="E3503" s="274">
        <f>$E$3048</f>
        <v>-4.8014386567070896E-2</v>
      </c>
      <c r="F3503" s="274">
        <f>$F$3048</f>
        <v>-9.1687685880577768E-3</v>
      </c>
      <c r="G3503" s="274">
        <f>$G$3048</f>
        <v>0</v>
      </c>
      <c r="H3503" s="274">
        <f>$H$3048</f>
        <v>-3.265371951641604E-2</v>
      </c>
      <c r="I3503" s="274">
        <f>$I$3048</f>
        <v>0</v>
      </c>
      <c r="J3503" s="274">
        <f>$J$3048</f>
        <v>0</v>
      </c>
      <c r="K3503" s="291"/>
      <c r="L3503" s="291"/>
      <c r="M3503" s="274">
        <f>$K$3048</f>
        <v>0</v>
      </c>
      <c r="N3503" s="274">
        <f>$L$3048</f>
        <v>-2.570339181899044E-2</v>
      </c>
      <c r="O3503" s="274">
        <f>$M$3048</f>
        <v>-3.6406091207277021E-3</v>
      </c>
      <c r="P3503" s="274">
        <f>$N$3048</f>
        <v>-3.1620434280637363E-2</v>
      </c>
      <c r="Q3503" s="274">
        <f>$O$3048</f>
        <v>-3.1779997325775848E-2</v>
      </c>
      <c r="R3503" s="274">
        <f>$P$3048</f>
        <v>0</v>
      </c>
      <c r="S3503" s="274">
        <f>$Q$3048</f>
        <v>-0.11318151493756481</v>
      </c>
      <c r="T3503" s="274">
        <f>$R$3048</f>
        <v>0</v>
      </c>
      <c r="U3503" s="274">
        <f>$S$3048</f>
        <v>0</v>
      </c>
      <c r="V3503" s="291"/>
      <c r="W3503" s="291"/>
      <c r="X3503" s="265"/>
    </row>
    <row r="3504" spans="1:24">
      <c r="A3504" s="285" t="s">
        <v>74</v>
      </c>
      <c r="B3504" s="291"/>
      <c r="C3504" s="291"/>
      <c r="D3504" s="291"/>
      <c r="E3504" s="291"/>
      <c r="F3504" s="291"/>
      <c r="G3504" s="291"/>
      <c r="H3504" s="291"/>
      <c r="I3504" s="291"/>
      <c r="J3504" s="291"/>
      <c r="K3504" s="291"/>
      <c r="L3504" s="291"/>
      <c r="M3504" s="291"/>
      <c r="N3504" s="291"/>
      <c r="O3504" s="291"/>
      <c r="P3504" s="291"/>
      <c r="Q3504" s="291"/>
      <c r="R3504" s="291"/>
      <c r="S3504" s="291"/>
      <c r="T3504" s="291"/>
      <c r="U3504" s="291"/>
      <c r="V3504" s="291"/>
      <c r="W3504" s="291"/>
      <c r="X3504" s="265"/>
    </row>
    <row r="3505" spans="1:24">
      <c r="A3505" s="285" t="s">
        <v>1520</v>
      </c>
      <c r="B3505" s="291"/>
      <c r="C3505" s="291"/>
      <c r="D3505" s="291"/>
      <c r="E3505" s="291"/>
      <c r="F3505" s="291"/>
      <c r="G3505" s="291"/>
      <c r="H3505" s="291"/>
      <c r="I3505" s="291"/>
      <c r="J3505" s="291"/>
      <c r="K3505" s="291"/>
      <c r="L3505" s="291"/>
      <c r="M3505" s="291"/>
      <c r="N3505" s="291"/>
      <c r="O3505" s="291"/>
      <c r="P3505" s="291"/>
      <c r="Q3505" s="291"/>
      <c r="R3505" s="291"/>
      <c r="S3505" s="291"/>
      <c r="T3505" s="291"/>
      <c r="U3505" s="291"/>
      <c r="V3505" s="291"/>
      <c r="W3505" s="291"/>
      <c r="X3505" s="265"/>
    </row>
    <row r="3506" spans="1:24">
      <c r="A3506" s="285" t="s">
        <v>75</v>
      </c>
      <c r="B3506" s="274">
        <f>$B$3049</f>
        <v>0</v>
      </c>
      <c r="C3506" s="274">
        <f>$C$3049</f>
        <v>-3.8620318964294513E-2</v>
      </c>
      <c r="D3506" s="274">
        <f>$D$3049</f>
        <v>-1.8051504848387834E-3</v>
      </c>
      <c r="E3506" s="274">
        <f>$E$3049</f>
        <v>-1.5678596734684903E-2</v>
      </c>
      <c r="F3506" s="274">
        <f>$F$3049</f>
        <v>0</v>
      </c>
      <c r="G3506" s="274">
        <f>$G$3049</f>
        <v>0</v>
      </c>
      <c r="H3506" s="274">
        <f>$H$3049</f>
        <v>0</v>
      </c>
      <c r="I3506" s="274">
        <f>$I$3049</f>
        <v>0</v>
      </c>
      <c r="J3506" s="274">
        <f>$J$3049</f>
        <v>0</v>
      </c>
      <c r="K3506" s="291"/>
      <c r="L3506" s="291"/>
      <c r="M3506" s="274">
        <f>$K$3049</f>
        <v>0</v>
      </c>
      <c r="N3506" s="274">
        <f>$L$3049</f>
        <v>-2.5433861494863753E-2</v>
      </c>
      <c r="O3506" s="274">
        <f>$M$3049</f>
        <v>-3.6024330479650668E-3</v>
      </c>
      <c r="P3506" s="274">
        <f>$N$3049</f>
        <v>-3.1288856800096847E-2</v>
      </c>
      <c r="Q3506" s="274">
        <f>$O$3049</f>
        <v>-3.1446746638851608E-2</v>
      </c>
      <c r="R3506" s="274">
        <f>$P$3049</f>
        <v>0</v>
      </c>
      <c r="S3506" s="274">
        <f>$Q$3049</f>
        <v>0</v>
      </c>
      <c r="T3506" s="274">
        <f>$R$3049</f>
        <v>0</v>
      </c>
      <c r="U3506" s="274">
        <f>$S$3049</f>
        <v>0</v>
      </c>
      <c r="V3506" s="291"/>
      <c r="W3506" s="291"/>
      <c r="X3506" s="265"/>
    </row>
    <row r="3507" spans="1:24">
      <c r="A3507" s="285" t="s">
        <v>1521</v>
      </c>
      <c r="B3507" s="274">
        <f>$B$3050</f>
        <v>0</v>
      </c>
      <c r="C3507" s="274">
        <f>$C$3050</f>
        <v>-3.8620318964294513E-2</v>
      </c>
      <c r="D3507" s="274">
        <f>$D$3050</f>
        <v>-1.8051504848387834E-3</v>
      </c>
      <c r="E3507" s="274">
        <f>$E$3050</f>
        <v>-1.5678596734684903E-2</v>
      </c>
      <c r="F3507" s="274">
        <f>$F$3050</f>
        <v>0</v>
      </c>
      <c r="G3507" s="274">
        <f>$G$3050</f>
        <v>0</v>
      </c>
      <c r="H3507" s="274">
        <f>$H$3050</f>
        <v>0</v>
      </c>
      <c r="I3507" s="274">
        <f>$I$3050</f>
        <v>0</v>
      </c>
      <c r="J3507" s="274">
        <f>$J$3050</f>
        <v>0</v>
      </c>
      <c r="K3507" s="291"/>
      <c r="L3507" s="291"/>
      <c r="M3507" s="274">
        <f>$K$3050</f>
        <v>0</v>
      </c>
      <c r="N3507" s="274">
        <f>$L$3050</f>
        <v>-2.5433861494863753E-2</v>
      </c>
      <c r="O3507" s="274">
        <f>$M$3050</f>
        <v>-3.6024330479650668E-3</v>
      </c>
      <c r="P3507" s="274">
        <f>$N$3050</f>
        <v>-3.1288856800096847E-2</v>
      </c>
      <c r="Q3507" s="274">
        <f>$O$3050</f>
        <v>-3.1446746638851608E-2</v>
      </c>
      <c r="R3507" s="274">
        <f>$P$3050</f>
        <v>0</v>
      </c>
      <c r="S3507" s="274">
        <f>$Q$3050</f>
        <v>0</v>
      </c>
      <c r="T3507" s="274">
        <f>$R$3050</f>
        <v>0</v>
      </c>
      <c r="U3507" s="274">
        <f>$S$3050</f>
        <v>0</v>
      </c>
      <c r="V3507" s="291"/>
      <c r="W3507" s="291"/>
      <c r="X3507" s="265"/>
    </row>
    <row r="3509" spans="1:24" ht="21" customHeight="1">
      <c r="A3509" s="1" t="s">
        <v>700</v>
      </c>
    </row>
    <row r="3510" spans="1:24">
      <c r="A3510" s="264" t="s">
        <v>217</v>
      </c>
    </row>
    <row r="3511" spans="1:24">
      <c r="A3511" s="269" t="s">
        <v>1133</v>
      </c>
    </row>
    <row r="3512" spans="1:24">
      <c r="A3512" s="269" t="s">
        <v>1132</v>
      </c>
    </row>
    <row r="3513" spans="1:24">
      <c r="A3513" s="269" t="s">
        <v>1131</v>
      </c>
    </row>
    <row r="3514" spans="1:24">
      <c r="A3514" s="269" t="s">
        <v>1382</v>
      </c>
    </row>
    <row r="3515" spans="1:24">
      <c r="A3515" s="269" t="s">
        <v>701</v>
      </c>
    </row>
    <row r="3516" spans="1:24">
      <c r="A3516" s="264" t="s">
        <v>303</v>
      </c>
    </row>
    <row r="3518" spans="1:24" ht="30">
      <c r="B3518" s="284" t="s">
        <v>22</v>
      </c>
      <c r="C3518" s="284" t="s">
        <v>182</v>
      </c>
      <c r="D3518" s="284" t="s">
        <v>183</v>
      </c>
      <c r="E3518" s="284" t="s">
        <v>184</v>
      </c>
      <c r="F3518" s="284" t="s">
        <v>185</v>
      </c>
      <c r="G3518" s="284" t="s">
        <v>186</v>
      </c>
      <c r="H3518" s="284" t="s">
        <v>187</v>
      </c>
      <c r="I3518" s="284" t="s">
        <v>188</v>
      </c>
      <c r="J3518" s="284" t="s">
        <v>189</v>
      </c>
      <c r="K3518" s="284" t="s">
        <v>326</v>
      </c>
      <c r="L3518" s="284" t="s">
        <v>333</v>
      </c>
      <c r="M3518" s="284" t="s">
        <v>170</v>
      </c>
      <c r="N3518" s="284" t="s">
        <v>567</v>
      </c>
      <c r="O3518" s="284" t="s">
        <v>568</v>
      </c>
      <c r="P3518" s="284" t="s">
        <v>569</v>
      </c>
      <c r="Q3518" s="284" t="s">
        <v>570</v>
      </c>
      <c r="R3518" s="284" t="s">
        <v>571</v>
      </c>
      <c r="S3518" s="284" t="s">
        <v>572</v>
      </c>
      <c r="T3518" s="284" t="s">
        <v>573</v>
      </c>
      <c r="U3518" s="284" t="s">
        <v>574</v>
      </c>
      <c r="V3518" s="284" t="s">
        <v>575</v>
      </c>
      <c r="W3518" s="284" t="s">
        <v>576</v>
      </c>
    </row>
    <row r="3519" spans="1:24">
      <c r="A3519" s="285" t="s">
        <v>54</v>
      </c>
      <c r="B3519" s="291"/>
      <c r="C3519" s="291"/>
      <c r="D3519" s="291"/>
      <c r="E3519" s="291"/>
      <c r="F3519" s="291"/>
      <c r="G3519" s="291"/>
      <c r="H3519" s="291"/>
      <c r="I3519" s="291"/>
      <c r="J3519" s="291"/>
      <c r="K3519" s="291"/>
      <c r="L3519" s="291"/>
      <c r="M3519" s="291"/>
      <c r="N3519" s="291"/>
      <c r="O3519" s="291"/>
      <c r="P3519" s="291"/>
      <c r="Q3519" s="291"/>
      <c r="R3519" s="291"/>
      <c r="S3519" s="291"/>
      <c r="T3519" s="291"/>
      <c r="U3519" s="291"/>
      <c r="V3519" s="291"/>
      <c r="W3519" s="291"/>
      <c r="X3519" s="265"/>
    </row>
    <row r="3520" spans="1:24">
      <c r="A3520" s="285" t="s">
        <v>55</v>
      </c>
      <c r="B3520" s="291"/>
      <c r="C3520" s="291"/>
      <c r="D3520" s="291"/>
      <c r="E3520" s="291"/>
      <c r="F3520" s="291"/>
      <c r="G3520" s="291"/>
      <c r="H3520" s="291"/>
      <c r="I3520" s="291"/>
      <c r="J3520" s="291"/>
      <c r="K3520" s="291"/>
      <c r="L3520" s="291"/>
      <c r="M3520" s="291"/>
      <c r="N3520" s="291"/>
      <c r="O3520" s="291"/>
      <c r="P3520" s="291"/>
      <c r="Q3520" s="291"/>
      <c r="R3520" s="291"/>
      <c r="S3520" s="291"/>
      <c r="T3520" s="291"/>
      <c r="U3520" s="291"/>
      <c r="V3520" s="291"/>
      <c r="W3520" s="291"/>
      <c r="X3520" s="265"/>
    </row>
    <row r="3521" spans="1:24">
      <c r="A3521" s="285" t="s">
        <v>91</v>
      </c>
      <c r="B3521" s="291"/>
      <c r="C3521" s="291"/>
      <c r="D3521" s="291"/>
      <c r="E3521" s="291"/>
      <c r="F3521" s="291"/>
      <c r="G3521" s="291"/>
      <c r="H3521" s="291"/>
      <c r="I3521" s="291"/>
      <c r="J3521" s="291"/>
      <c r="K3521" s="291"/>
      <c r="L3521" s="291"/>
      <c r="M3521" s="291"/>
      <c r="N3521" s="291"/>
      <c r="O3521" s="291"/>
      <c r="P3521" s="291"/>
      <c r="Q3521" s="291"/>
      <c r="R3521" s="291"/>
      <c r="S3521" s="291"/>
      <c r="T3521" s="291"/>
      <c r="U3521" s="291"/>
      <c r="V3521" s="291"/>
      <c r="W3521" s="291"/>
      <c r="X3521" s="265"/>
    </row>
    <row r="3522" spans="1:24">
      <c r="A3522" s="285" t="s">
        <v>56</v>
      </c>
      <c r="B3522" s="291"/>
      <c r="C3522" s="291"/>
      <c r="D3522" s="291"/>
      <c r="E3522" s="291"/>
      <c r="F3522" s="291"/>
      <c r="G3522" s="291"/>
      <c r="H3522" s="291"/>
      <c r="I3522" s="291"/>
      <c r="J3522" s="291"/>
      <c r="K3522" s="291"/>
      <c r="L3522" s="291"/>
      <c r="M3522" s="291"/>
      <c r="N3522" s="291"/>
      <c r="O3522" s="291"/>
      <c r="P3522" s="291"/>
      <c r="Q3522" s="291"/>
      <c r="R3522" s="291"/>
      <c r="S3522" s="291"/>
      <c r="T3522" s="291"/>
      <c r="U3522" s="291"/>
      <c r="V3522" s="291"/>
      <c r="W3522" s="291"/>
      <c r="X3522" s="265"/>
    </row>
    <row r="3523" spans="1:24">
      <c r="A3523" s="285" t="s">
        <v>57</v>
      </c>
      <c r="B3523" s="291"/>
      <c r="C3523" s="291"/>
      <c r="D3523" s="291"/>
      <c r="E3523" s="291"/>
      <c r="F3523" s="291"/>
      <c r="G3523" s="291"/>
      <c r="H3523" s="291"/>
      <c r="I3523" s="291"/>
      <c r="J3523" s="291"/>
      <c r="K3523" s="291"/>
      <c r="L3523" s="291"/>
      <c r="M3523" s="291"/>
      <c r="N3523" s="291"/>
      <c r="O3523" s="291"/>
      <c r="P3523" s="291"/>
      <c r="Q3523" s="291"/>
      <c r="R3523" s="291"/>
      <c r="S3523" s="291"/>
      <c r="T3523" s="291"/>
      <c r="U3523" s="291"/>
      <c r="V3523" s="291"/>
      <c r="W3523" s="291"/>
      <c r="X3523" s="265"/>
    </row>
    <row r="3524" spans="1:24">
      <c r="A3524" s="285" t="s">
        <v>92</v>
      </c>
      <c r="B3524" s="291"/>
      <c r="C3524" s="291"/>
      <c r="D3524" s="291"/>
      <c r="E3524" s="291"/>
      <c r="F3524" s="291"/>
      <c r="G3524" s="291"/>
      <c r="H3524" s="291"/>
      <c r="I3524" s="291"/>
      <c r="J3524" s="291"/>
      <c r="K3524" s="291"/>
      <c r="L3524" s="291"/>
      <c r="M3524" s="291"/>
      <c r="N3524" s="291"/>
      <c r="O3524" s="291"/>
      <c r="P3524" s="291"/>
      <c r="Q3524" s="291"/>
      <c r="R3524" s="291"/>
      <c r="S3524" s="291"/>
      <c r="T3524" s="291"/>
      <c r="U3524" s="291"/>
      <c r="V3524" s="291"/>
      <c r="W3524" s="291"/>
      <c r="X3524" s="265"/>
    </row>
    <row r="3525" spans="1:24">
      <c r="A3525" s="285" t="s">
        <v>58</v>
      </c>
      <c r="B3525" s="291"/>
      <c r="C3525" s="291"/>
      <c r="D3525" s="291"/>
      <c r="E3525" s="291"/>
      <c r="F3525" s="291"/>
      <c r="G3525" s="291"/>
      <c r="H3525" s="291"/>
      <c r="I3525" s="291"/>
      <c r="J3525" s="291"/>
      <c r="K3525" s="291"/>
      <c r="L3525" s="291"/>
      <c r="M3525" s="291"/>
      <c r="N3525" s="291"/>
      <c r="O3525" s="291"/>
      <c r="P3525" s="291"/>
      <c r="Q3525" s="291"/>
      <c r="R3525" s="291"/>
      <c r="S3525" s="291"/>
      <c r="T3525" s="291"/>
      <c r="U3525" s="291"/>
      <c r="V3525" s="291"/>
      <c r="W3525" s="291"/>
      <c r="X3525" s="265"/>
    </row>
    <row r="3526" spans="1:24">
      <c r="A3526" s="285" t="s">
        <v>59</v>
      </c>
      <c r="B3526" s="291"/>
      <c r="C3526" s="291"/>
      <c r="D3526" s="291"/>
      <c r="E3526" s="291"/>
      <c r="F3526" s="291"/>
      <c r="G3526" s="291"/>
      <c r="H3526" s="291"/>
      <c r="I3526" s="291"/>
      <c r="J3526" s="291"/>
      <c r="K3526" s="291"/>
      <c r="L3526" s="291"/>
      <c r="M3526" s="291"/>
      <c r="N3526" s="291"/>
      <c r="O3526" s="291"/>
      <c r="P3526" s="291"/>
      <c r="Q3526" s="291"/>
      <c r="R3526" s="291"/>
      <c r="S3526" s="291"/>
      <c r="T3526" s="291"/>
      <c r="U3526" s="291"/>
      <c r="V3526" s="291"/>
      <c r="W3526" s="291"/>
      <c r="X3526" s="265"/>
    </row>
    <row r="3527" spans="1:24">
      <c r="A3527" s="285" t="s">
        <v>72</v>
      </c>
      <c r="B3527" s="291"/>
      <c r="C3527" s="291"/>
      <c r="D3527" s="291"/>
      <c r="E3527" s="291"/>
      <c r="F3527" s="291"/>
      <c r="G3527" s="291"/>
      <c r="H3527" s="291"/>
      <c r="I3527" s="291"/>
      <c r="J3527" s="291"/>
      <c r="K3527" s="291"/>
      <c r="L3527" s="291"/>
      <c r="M3527" s="291"/>
      <c r="N3527" s="291"/>
      <c r="O3527" s="291"/>
      <c r="P3527" s="291"/>
      <c r="Q3527" s="291"/>
      <c r="R3527" s="291"/>
      <c r="S3527" s="291"/>
      <c r="T3527" s="291"/>
      <c r="U3527" s="291"/>
      <c r="V3527" s="291"/>
      <c r="W3527" s="291"/>
      <c r="X3527" s="265"/>
    </row>
    <row r="3528" spans="1:24">
      <c r="A3528" s="285" t="s">
        <v>1178</v>
      </c>
      <c r="B3528" s="274">
        <f>$B$3199</f>
        <v>0</v>
      </c>
      <c r="C3528" s="274">
        <f>$C$3199</f>
        <v>3.0624806715915023E-2</v>
      </c>
      <c r="D3528" s="274">
        <f>$D$3199</f>
        <v>4.3376746320347064E-3</v>
      </c>
      <c r="E3528" s="274">
        <f>$E$3199</f>
        <v>1.4544905068981947E-2</v>
      </c>
      <c r="F3528" s="274">
        <f>$F$3199</f>
        <v>2.7774772989440609E-3</v>
      </c>
      <c r="G3528" s="274">
        <f>$G$3199</f>
        <v>0</v>
      </c>
      <c r="H3528" s="274">
        <f>$H$3199</f>
        <v>9.8917279689075561E-3</v>
      </c>
      <c r="I3528" s="274">
        <f>$I$3199</f>
        <v>1.1092865631004186E-3</v>
      </c>
      <c r="J3528" s="274">
        <f>$J$3199</f>
        <v>0</v>
      </c>
      <c r="K3528" s="291"/>
      <c r="L3528" s="291"/>
      <c r="M3528" s="274">
        <f>$K$3199</f>
        <v>0</v>
      </c>
      <c r="N3528" s="274">
        <f>$L$3199</f>
        <v>2.0168323649519201E-2</v>
      </c>
      <c r="O3528" s="274">
        <f>$M$3199</f>
        <v>2.8566262205900481E-3</v>
      </c>
      <c r="P3528" s="274">
        <f>$N$3199</f>
        <v>9.578716874980792E-3</v>
      </c>
      <c r="Q3528" s="274">
        <f>$O$3199</f>
        <v>9.6270529990050979E-3</v>
      </c>
      <c r="R3528" s="274">
        <f>$P$3199</f>
        <v>0</v>
      </c>
      <c r="S3528" s="274">
        <f>$Q$3199</f>
        <v>3.4285856969782577E-2</v>
      </c>
      <c r="T3528" s="274">
        <f>$R$3199</f>
        <v>1.4610672081757542E-2</v>
      </c>
      <c r="U3528" s="274">
        <f>$S$3199</f>
        <v>0</v>
      </c>
      <c r="V3528" s="291"/>
      <c r="W3528" s="291"/>
      <c r="X3528" s="265"/>
    </row>
    <row r="3529" spans="1:24">
      <c r="A3529" s="285" t="s">
        <v>1177</v>
      </c>
      <c r="B3529" s="274">
        <f>$B$3200</f>
        <v>0</v>
      </c>
      <c r="C3529" s="274">
        <f>$C$3200</f>
        <v>3.1225050043192332E-2</v>
      </c>
      <c r="D3529" s="274">
        <f>$D$3200</f>
        <v>4.4226926462847633E-3</v>
      </c>
      <c r="E3529" s="274">
        <f>$E$3200</f>
        <v>1.4835092792568194E-2</v>
      </c>
      <c r="F3529" s="274">
        <f>$F$3200</f>
        <v>2.8328911920475564E-3</v>
      </c>
      <c r="G3529" s="274">
        <f>$G$3200</f>
        <v>0</v>
      </c>
      <c r="H3529" s="274">
        <f>$H$3200</f>
        <v>1.0089079413143047E-2</v>
      </c>
      <c r="I3529" s="274">
        <f>$I$3200</f>
        <v>1.1314181164535856E-3</v>
      </c>
      <c r="J3529" s="274">
        <f>$J$3200</f>
        <v>0</v>
      </c>
      <c r="K3529" s="291"/>
      <c r="L3529" s="291"/>
      <c r="M3529" s="274">
        <f>$K$3200</f>
        <v>0</v>
      </c>
      <c r="N3529" s="274">
        <f>$L$3200</f>
        <v>2.0563620893524402E-2</v>
      </c>
      <c r="O3529" s="274">
        <f>$M$3200</f>
        <v>2.9126158254662647E-3</v>
      </c>
      <c r="P3529" s="274">
        <f>$N$3200</f>
        <v>9.7698233848992084E-3</v>
      </c>
      <c r="Q3529" s="274">
        <f>$O$3200</f>
        <v>9.8191238706523184E-3</v>
      </c>
      <c r="R3529" s="274">
        <f>$P$3200</f>
        <v>0</v>
      </c>
      <c r="S3529" s="274">
        <f>$Q$3200</f>
        <v>3.4969899577010209E-2</v>
      </c>
      <c r="T3529" s="274">
        <f>$R$3200</f>
        <v>1.4902171933517465E-2</v>
      </c>
      <c r="U3529" s="274">
        <f>$S$3200</f>
        <v>0</v>
      </c>
      <c r="V3529" s="291"/>
      <c r="W3529" s="291"/>
      <c r="X3529" s="265"/>
    </row>
    <row r="3530" spans="1:24">
      <c r="A3530" s="285" t="s">
        <v>60</v>
      </c>
      <c r="B3530" s="274">
        <f>$B$3201</f>
        <v>0</v>
      </c>
      <c r="C3530" s="274">
        <f>$C$3201</f>
        <v>2.4647822653770152E-2</v>
      </c>
      <c r="D3530" s="274">
        <f>$D$3201</f>
        <v>3.4910990966218326E-3</v>
      </c>
      <c r="E3530" s="274">
        <f>$E$3201</f>
        <v>1.1707033384784122E-2</v>
      </c>
      <c r="F3530" s="274">
        <f>$F$3201</f>
        <v>2.2355607898439218E-3</v>
      </c>
      <c r="G3530" s="274">
        <f>$G$3201</f>
        <v>0</v>
      </c>
      <c r="H3530" s="274">
        <f>$H$3201</f>
        <v>6.3693940395478481E-3</v>
      </c>
      <c r="I3530" s="274">
        <f>$I$3201</f>
        <v>0</v>
      </c>
      <c r="J3530" s="274">
        <f>$J$3201</f>
        <v>0</v>
      </c>
      <c r="K3530" s="291"/>
      <c r="L3530" s="291"/>
      <c r="M3530" s="274">
        <f>$K$3201</f>
        <v>0</v>
      </c>
      <c r="N3530" s="274">
        <f>$L$3201</f>
        <v>1.6232111083948599E-2</v>
      </c>
      <c r="O3530" s="274">
        <f>$M$3201</f>
        <v>2.2991040278671515E-3</v>
      </c>
      <c r="P3530" s="274">
        <f>$N$3201</f>
        <v>7.7098033783622446E-3</v>
      </c>
      <c r="Q3530" s="274">
        <f>$O$3201</f>
        <v>7.7487085905282834E-3</v>
      </c>
      <c r="R3530" s="274">
        <f>$P$3201</f>
        <v>0</v>
      </c>
      <c r="S3530" s="274">
        <f>$Q$3201</f>
        <v>2.2077045963106997E-2</v>
      </c>
      <c r="T3530" s="274">
        <f>$R$3201</f>
        <v>0</v>
      </c>
      <c r="U3530" s="274">
        <f>$S$3201</f>
        <v>0</v>
      </c>
      <c r="V3530" s="291"/>
      <c r="W3530" s="291"/>
      <c r="X3530" s="265"/>
    </row>
    <row r="3531" spans="1:24">
      <c r="A3531" s="285" t="s">
        <v>61</v>
      </c>
      <c r="B3531" s="274">
        <f>$B$3202</f>
        <v>0</v>
      </c>
      <c r="C3531" s="274">
        <f>$C$3202</f>
        <v>2.3220321324830803E-2</v>
      </c>
      <c r="D3531" s="274">
        <f>$D$3202</f>
        <v>3.2889088800704181E-3</v>
      </c>
      <c r="E3531" s="274">
        <f>$E$3202</f>
        <v>1.102900977395777E-2</v>
      </c>
      <c r="F3531" s="274">
        <f>$F$3202</f>
        <v>2.1060862296259715E-3</v>
      </c>
      <c r="G3531" s="274">
        <f>$G$3202</f>
        <v>0</v>
      </c>
      <c r="H3531" s="274">
        <f>$H$3202</f>
        <v>0</v>
      </c>
      <c r="I3531" s="274">
        <f>$I$3202</f>
        <v>0</v>
      </c>
      <c r="J3531" s="274">
        <f>$J$3202</f>
        <v>0</v>
      </c>
      <c r="K3531" s="291"/>
      <c r="L3531" s="291"/>
      <c r="M3531" s="274">
        <f>$K$3202</f>
        <v>0</v>
      </c>
      <c r="N3531" s="274">
        <f>$L$3202</f>
        <v>1.5292013434378587E-2</v>
      </c>
      <c r="O3531" s="274">
        <f>$M$3202</f>
        <v>2.165949302549125E-3</v>
      </c>
      <c r="P3531" s="274">
        <f>$N$3202</f>
        <v>7.2632830214499153E-3</v>
      </c>
      <c r="Q3531" s="274">
        <f>$O$3202</f>
        <v>7.299935002454328E-3</v>
      </c>
      <c r="R3531" s="274">
        <f>$P$3202</f>
        <v>0</v>
      </c>
      <c r="S3531" s="274">
        <f>$Q$3202</f>
        <v>0</v>
      </c>
      <c r="T3531" s="274">
        <f>$R$3202</f>
        <v>0</v>
      </c>
      <c r="U3531" s="274">
        <f>$S$3202</f>
        <v>0</v>
      </c>
      <c r="V3531" s="291"/>
      <c r="W3531" s="291"/>
      <c r="X3531" s="265"/>
    </row>
    <row r="3532" spans="1:24">
      <c r="A3532" s="285" t="s">
        <v>73</v>
      </c>
      <c r="B3532" s="274">
        <f>$B$3203</f>
        <v>0</v>
      </c>
      <c r="C3532" s="274">
        <f>$C$3203</f>
        <v>2.1111121375311084E-2</v>
      </c>
      <c r="D3532" s="274">
        <f>$D$3203</f>
        <v>9.8675391628343947E-4</v>
      </c>
      <c r="E3532" s="274">
        <f>$E$3203</f>
        <v>2.6471803224778069E-3</v>
      </c>
      <c r="F3532" s="274">
        <f>$F$3203</f>
        <v>0</v>
      </c>
      <c r="G3532" s="274">
        <f>$G$3203</f>
        <v>0</v>
      </c>
      <c r="H3532" s="274">
        <f>$H$3203</f>
        <v>0</v>
      </c>
      <c r="I3532" s="274">
        <f>$I$3203</f>
        <v>0</v>
      </c>
      <c r="J3532" s="274">
        <f>$J$3203</f>
        <v>0</v>
      </c>
      <c r="K3532" s="291"/>
      <c r="L3532" s="291"/>
      <c r="M3532" s="274">
        <f>$K$3203</f>
        <v>0</v>
      </c>
      <c r="N3532" s="274">
        <f>$L$3203</f>
        <v>1.3902975207359945E-2</v>
      </c>
      <c r="O3532" s="274">
        <f>$M$3203</f>
        <v>1.9692069708780466E-3</v>
      </c>
      <c r="P3532" s="274">
        <f>$N$3203</f>
        <v>5.2828226553469602E-3</v>
      </c>
      <c r="Q3532" s="274">
        <f>$O$3203</f>
        <v>0</v>
      </c>
      <c r="R3532" s="274">
        <f>$P$3203</f>
        <v>0</v>
      </c>
      <c r="S3532" s="274">
        <f>$Q$3203</f>
        <v>0</v>
      </c>
      <c r="T3532" s="274">
        <f>$R$3203</f>
        <v>0</v>
      </c>
      <c r="U3532" s="274">
        <f>$S$3203</f>
        <v>0</v>
      </c>
      <c r="V3532" s="291"/>
      <c r="W3532" s="291"/>
      <c r="X3532" s="265"/>
    </row>
    <row r="3533" spans="1:24">
      <c r="A3533" s="285" t="s">
        <v>93</v>
      </c>
      <c r="B3533" s="291"/>
      <c r="C3533" s="291"/>
      <c r="D3533" s="291"/>
      <c r="E3533" s="291"/>
      <c r="F3533" s="291"/>
      <c r="G3533" s="291"/>
      <c r="H3533" s="291"/>
      <c r="I3533" s="291"/>
      <c r="J3533" s="291"/>
      <c r="K3533" s="291"/>
      <c r="L3533" s="291"/>
      <c r="M3533" s="291"/>
      <c r="N3533" s="291"/>
      <c r="O3533" s="291"/>
      <c r="P3533" s="291"/>
      <c r="Q3533" s="291"/>
      <c r="R3533" s="291"/>
      <c r="S3533" s="291"/>
      <c r="T3533" s="291"/>
      <c r="U3533" s="291"/>
      <c r="V3533" s="291"/>
      <c r="W3533" s="291"/>
      <c r="X3533" s="265"/>
    </row>
    <row r="3534" spans="1:24">
      <c r="A3534" s="285" t="s">
        <v>94</v>
      </c>
      <c r="B3534" s="291"/>
      <c r="C3534" s="291"/>
      <c r="D3534" s="291"/>
      <c r="E3534" s="291"/>
      <c r="F3534" s="291"/>
      <c r="G3534" s="291"/>
      <c r="H3534" s="291"/>
      <c r="I3534" s="291"/>
      <c r="J3534" s="291"/>
      <c r="K3534" s="291"/>
      <c r="L3534" s="291"/>
      <c r="M3534" s="291"/>
      <c r="N3534" s="291"/>
      <c r="O3534" s="291"/>
      <c r="P3534" s="291"/>
      <c r="Q3534" s="291"/>
      <c r="R3534" s="291"/>
      <c r="S3534" s="291"/>
      <c r="T3534" s="291"/>
      <c r="U3534" s="291"/>
      <c r="V3534" s="291"/>
      <c r="W3534" s="291"/>
      <c r="X3534" s="265"/>
    </row>
    <row r="3535" spans="1:24">
      <c r="A3535" s="285" t="s">
        <v>95</v>
      </c>
      <c r="B3535" s="291"/>
      <c r="C3535" s="291"/>
      <c r="D3535" s="291"/>
      <c r="E3535" s="291"/>
      <c r="F3535" s="291"/>
      <c r="G3535" s="291"/>
      <c r="H3535" s="291"/>
      <c r="I3535" s="291"/>
      <c r="J3535" s="291"/>
      <c r="K3535" s="291"/>
      <c r="L3535" s="291"/>
      <c r="M3535" s="291"/>
      <c r="N3535" s="291"/>
      <c r="O3535" s="291"/>
      <c r="P3535" s="291"/>
      <c r="Q3535" s="291"/>
      <c r="R3535" s="291"/>
      <c r="S3535" s="291"/>
      <c r="T3535" s="291"/>
      <c r="U3535" s="291"/>
      <c r="V3535" s="291"/>
      <c r="W3535" s="291"/>
      <c r="X3535" s="265"/>
    </row>
    <row r="3536" spans="1:24">
      <c r="A3536" s="285" t="s">
        <v>96</v>
      </c>
      <c r="B3536" s="291"/>
      <c r="C3536" s="291"/>
      <c r="D3536" s="291"/>
      <c r="E3536" s="291"/>
      <c r="F3536" s="291"/>
      <c r="G3536" s="291"/>
      <c r="H3536" s="291"/>
      <c r="I3536" s="291"/>
      <c r="J3536" s="291"/>
      <c r="K3536" s="291"/>
      <c r="L3536" s="291"/>
      <c r="M3536" s="291"/>
      <c r="N3536" s="291"/>
      <c r="O3536" s="291"/>
      <c r="P3536" s="291"/>
      <c r="Q3536" s="291"/>
      <c r="R3536" s="291"/>
      <c r="S3536" s="291"/>
      <c r="T3536" s="291"/>
      <c r="U3536" s="291"/>
      <c r="V3536" s="291"/>
      <c r="W3536" s="291"/>
      <c r="X3536" s="265"/>
    </row>
    <row r="3537" spans="1:24">
      <c r="A3537" s="285" t="s">
        <v>97</v>
      </c>
      <c r="B3537" s="274">
        <f>$B$3067</f>
        <v>0</v>
      </c>
      <c r="C3537" s="274">
        <f>$C$3067</f>
        <v>2.1200653855416786E-2</v>
      </c>
      <c r="D3537" s="274">
        <f>$D$3067</f>
        <v>3.0028446959438231E-3</v>
      </c>
      <c r="E3537" s="274">
        <f>$E$3067</f>
        <v>1.0069723640544457E-2</v>
      </c>
      <c r="F3537" s="274">
        <f>$F$3067</f>
        <v>1.9229021217812726E-3</v>
      </c>
      <c r="G3537" s="274">
        <f>$G$3067</f>
        <v>0</v>
      </c>
      <c r="H3537" s="274">
        <f>$H$3067</f>
        <v>6.8482376819881917E-3</v>
      </c>
      <c r="I3537" s="274">
        <f>$I$3067</f>
        <v>7.6798088922641833E-4</v>
      </c>
      <c r="J3537" s="274">
        <f>$J$3067</f>
        <v>1.6494201691393288E-3</v>
      </c>
      <c r="K3537" s="291"/>
      <c r="L3537" s="291"/>
      <c r="M3537" s="274">
        <f>$K$3067</f>
        <v>0</v>
      </c>
      <c r="N3537" s="274">
        <f>$L$3067</f>
        <v>1.3961937866379032E-2</v>
      </c>
      <c r="O3537" s="274">
        <f>$M$3067</f>
        <v>1.9775583976359991E-3</v>
      </c>
      <c r="P3537" s="274">
        <f>$N$3067</f>
        <v>6.6315339498346712E-3</v>
      </c>
      <c r="Q3537" s="274">
        <f>$O$3067</f>
        <v>6.664997998480672E-3</v>
      </c>
      <c r="R3537" s="274">
        <f>$P$3067</f>
        <v>0</v>
      </c>
      <c r="S3537" s="274">
        <f>$Q$3067</f>
        <v>2.3736772624333862E-2</v>
      </c>
      <c r="T3537" s="274">
        <f>$R$3067</f>
        <v>1.0115255436054536E-2</v>
      </c>
      <c r="U3537" s="274">
        <f>$S$3067</f>
        <v>2.1724897801858812E-2</v>
      </c>
      <c r="V3537" s="274">
        <f>$B$2791</f>
        <v>0.95242632914781233</v>
      </c>
      <c r="W3537" s="291"/>
      <c r="X3537" s="265"/>
    </row>
    <row r="3538" spans="1:24">
      <c r="A3538" s="285" t="s">
        <v>1176</v>
      </c>
      <c r="B3538" s="291"/>
      <c r="C3538" s="291"/>
      <c r="D3538" s="291"/>
      <c r="E3538" s="291"/>
      <c r="F3538" s="291"/>
      <c r="G3538" s="291"/>
      <c r="H3538" s="291"/>
      <c r="I3538" s="291"/>
      <c r="J3538" s="291"/>
      <c r="K3538" s="291"/>
      <c r="L3538" s="291"/>
      <c r="M3538" s="291"/>
      <c r="N3538" s="291"/>
      <c r="O3538" s="291"/>
      <c r="P3538" s="291"/>
      <c r="Q3538" s="291"/>
      <c r="R3538" s="291"/>
      <c r="S3538" s="291"/>
      <c r="T3538" s="291"/>
      <c r="U3538" s="291"/>
      <c r="V3538" s="291"/>
      <c r="W3538" s="291"/>
      <c r="X3538" s="265"/>
    </row>
    <row r="3539" spans="1:24">
      <c r="A3539" s="285" t="s">
        <v>62</v>
      </c>
      <c r="B3539" s="291"/>
      <c r="C3539" s="291"/>
      <c r="D3539" s="291"/>
      <c r="E3539" s="291"/>
      <c r="F3539" s="291"/>
      <c r="G3539" s="291"/>
      <c r="H3539" s="291"/>
      <c r="I3539" s="291"/>
      <c r="J3539" s="291"/>
      <c r="K3539" s="291"/>
      <c r="L3539" s="291"/>
      <c r="M3539" s="291"/>
      <c r="N3539" s="291"/>
      <c r="O3539" s="291"/>
      <c r="P3539" s="291"/>
      <c r="Q3539" s="291"/>
      <c r="R3539" s="291"/>
      <c r="S3539" s="291"/>
      <c r="T3539" s="291"/>
      <c r="U3539" s="291"/>
      <c r="V3539" s="291"/>
      <c r="W3539" s="291"/>
      <c r="X3539" s="265"/>
    </row>
    <row r="3540" spans="1:24">
      <c r="A3540" s="285" t="s">
        <v>63</v>
      </c>
      <c r="B3540" s="291"/>
      <c r="C3540" s="291"/>
      <c r="D3540" s="291"/>
      <c r="E3540" s="291"/>
      <c r="F3540" s="291"/>
      <c r="G3540" s="291"/>
      <c r="H3540" s="291"/>
      <c r="I3540" s="291"/>
      <c r="J3540" s="291"/>
      <c r="K3540" s="291"/>
      <c r="L3540" s="291"/>
      <c r="M3540" s="291"/>
      <c r="N3540" s="291"/>
      <c r="O3540" s="291"/>
      <c r="P3540" s="291"/>
      <c r="Q3540" s="291"/>
      <c r="R3540" s="291"/>
      <c r="S3540" s="291"/>
      <c r="T3540" s="291"/>
      <c r="U3540" s="291"/>
      <c r="V3540" s="291"/>
      <c r="W3540" s="291"/>
      <c r="X3540" s="265"/>
    </row>
    <row r="3541" spans="1:24">
      <c r="A3541" s="285" t="s">
        <v>1516</v>
      </c>
      <c r="B3541" s="291"/>
      <c r="C3541" s="291"/>
      <c r="D3541" s="291"/>
      <c r="E3541" s="291"/>
      <c r="F3541" s="291"/>
      <c r="G3541" s="291"/>
      <c r="H3541" s="291"/>
      <c r="I3541" s="291"/>
      <c r="J3541" s="291"/>
      <c r="K3541" s="291"/>
      <c r="L3541" s="291"/>
      <c r="M3541" s="291"/>
      <c r="N3541" s="291"/>
      <c r="O3541" s="291"/>
      <c r="P3541" s="291"/>
      <c r="Q3541" s="291"/>
      <c r="R3541" s="291"/>
      <c r="S3541" s="291"/>
      <c r="T3541" s="291"/>
      <c r="U3541" s="291"/>
      <c r="V3541" s="291"/>
      <c r="W3541" s="291"/>
      <c r="X3541" s="265"/>
    </row>
    <row r="3542" spans="1:24">
      <c r="A3542" s="285" t="s">
        <v>64</v>
      </c>
      <c r="B3542" s="274">
        <f>$B$3068</f>
        <v>0</v>
      </c>
      <c r="C3542" s="274">
        <f>$C$3068</f>
        <v>-2.0666898431748987E-2</v>
      </c>
      <c r="D3542" s="274">
        <f>$D$3068</f>
        <v>-2.927243978446019E-3</v>
      </c>
      <c r="E3542" s="274">
        <f>$E$3068</f>
        <v>-9.816204591338187E-3</v>
      </c>
      <c r="F3542" s="274">
        <f>$F$3068</f>
        <v>-1.8744904339303885E-3</v>
      </c>
      <c r="G3542" s="274">
        <f>$G$3068</f>
        <v>0</v>
      </c>
      <c r="H3542" s="274">
        <f>$H$3068</f>
        <v>-6.6758239427584702E-3</v>
      </c>
      <c r="I3542" s="274">
        <f>$I$3068</f>
        <v>-7.4864592117810551E-4</v>
      </c>
      <c r="J3542" s="274">
        <f>$J$3068</f>
        <v>0</v>
      </c>
      <c r="K3542" s="291"/>
      <c r="L3542" s="291"/>
      <c r="M3542" s="274">
        <f>$K$3068</f>
        <v>0</v>
      </c>
      <c r="N3542" s="274">
        <f>$L$3068</f>
        <v>-1.3610427006765211E-2</v>
      </c>
      <c r="O3542" s="274">
        <f>$M$3068</f>
        <v>-1.9277706633728726E-3</v>
      </c>
      <c r="P3542" s="274">
        <f>$N$3068</f>
        <v>-6.4645760231074705E-3</v>
      </c>
      <c r="Q3542" s="274">
        <f>$O$3068</f>
        <v>-6.4971975686125534E-3</v>
      </c>
      <c r="R3542" s="274">
        <f>$P$3068</f>
        <v>0</v>
      </c>
      <c r="S3542" s="274">
        <f>$Q$3068</f>
        <v>-2.3139166945989633E-2</v>
      </c>
      <c r="T3542" s="274">
        <f>$R$3068</f>
        <v>-9.8605900616939302E-3</v>
      </c>
      <c r="U3542" s="274">
        <f>$S$3068</f>
        <v>0</v>
      </c>
      <c r="V3542" s="291"/>
      <c r="W3542" s="291"/>
      <c r="X3542" s="265"/>
    </row>
    <row r="3543" spans="1:24">
      <c r="A3543" s="285" t="s">
        <v>1517</v>
      </c>
      <c r="B3543" s="274">
        <f>$B$3069</f>
        <v>0</v>
      </c>
      <c r="C3543" s="274">
        <f>$C$3069</f>
        <v>-2.0666898431748987E-2</v>
      </c>
      <c r="D3543" s="274">
        <f>$D$3069</f>
        <v>-2.927243978446019E-3</v>
      </c>
      <c r="E3543" s="274">
        <f>$E$3069</f>
        <v>-9.816204591338187E-3</v>
      </c>
      <c r="F3543" s="274">
        <f>$F$3069</f>
        <v>-1.8744904339303885E-3</v>
      </c>
      <c r="G3543" s="274">
        <f>$G$3069</f>
        <v>0</v>
      </c>
      <c r="H3543" s="274">
        <f>$H$3069</f>
        <v>-6.6758239427584702E-3</v>
      </c>
      <c r="I3543" s="274">
        <f>$I$3069</f>
        <v>-7.4864592117810551E-4</v>
      </c>
      <c r="J3543" s="274">
        <f>$J$3069</f>
        <v>0</v>
      </c>
      <c r="K3543" s="291"/>
      <c r="L3543" s="291"/>
      <c r="M3543" s="274">
        <f>$K$3069</f>
        <v>0</v>
      </c>
      <c r="N3543" s="274">
        <f>$L$3069</f>
        <v>-1.3610427006765211E-2</v>
      </c>
      <c r="O3543" s="274">
        <f>$M$3069</f>
        <v>-1.9277706633728726E-3</v>
      </c>
      <c r="P3543" s="274">
        <f>$N$3069</f>
        <v>-6.4645760231074705E-3</v>
      </c>
      <c r="Q3543" s="274">
        <f>$O$3069</f>
        <v>-6.4971975686125534E-3</v>
      </c>
      <c r="R3543" s="274">
        <f>$P$3069</f>
        <v>0</v>
      </c>
      <c r="S3543" s="274">
        <f>$Q$3069</f>
        <v>-2.3139166945989633E-2</v>
      </c>
      <c r="T3543" s="274">
        <f>$R$3069</f>
        <v>-9.8605900616939302E-3</v>
      </c>
      <c r="U3543" s="274">
        <f>$S$3069</f>
        <v>0</v>
      </c>
      <c r="V3543" s="291"/>
      <c r="W3543" s="291"/>
      <c r="X3543" s="265"/>
    </row>
    <row r="3544" spans="1:24">
      <c r="A3544" s="285" t="s">
        <v>65</v>
      </c>
      <c r="B3544" s="291"/>
      <c r="C3544" s="291"/>
      <c r="D3544" s="291"/>
      <c r="E3544" s="291"/>
      <c r="F3544" s="291"/>
      <c r="G3544" s="291"/>
      <c r="H3544" s="291"/>
      <c r="I3544" s="291"/>
      <c r="J3544" s="291"/>
      <c r="K3544" s="291"/>
      <c r="L3544" s="291"/>
      <c r="M3544" s="291"/>
      <c r="N3544" s="291"/>
      <c r="O3544" s="291"/>
      <c r="P3544" s="291"/>
      <c r="Q3544" s="291"/>
      <c r="R3544" s="291"/>
      <c r="S3544" s="291"/>
      <c r="T3544" s="291"/>
      <c r="U3544" s="291"/>
      <c r="V3544" s="291"/>
      <c r="W3544" s="291"/>
      <c r="X3544" s="265"/>
    </row>
    <row r="3545" spans="1:24">
      <c r="A3545" s="285" t="s">
        <v>1518</v>
      </c>
      <c r="B3545" s="291"/>
      <c r="C3545" s="291"/>
      <c r="D3545" s="291"/>
      <c r="E3545" s="291"/>
      <c r="F3545" s="291"/>
      <c r="G3545" s="291"/>
      <c r="H3545" s="291"/>
      <c r="I3545" s="291"/>
      <c r="J3545" s="291"/>
      <c r="K3545" s="291"/>
      <c r="L3545" s="291"/>
      <c r="M3545" s="291"/>
      <c r="N3545" s="291"/>
      <c r="O3545" s="291"/>
      <c r="P3545" s="291"/>
      <c r="Q3545" s="291"/>
      <c r="R3545" s="291"/>
      <c r="S3545" s="291"/>
      <c r="T3545" s="291"/>
      <c r="U3545" s="291"/>
      <c r="V3545" s="291"/>
      <c r="W3545" s="291"/>
      <c r="X3545" s="265"/>
    </row>
    <row r="3546" spans="1:24">
      <c r="A3546" s="285" t="s">
        <v>66</v>
      </c>
      <c r="B3546" s="274">
        <f>$B$3070</f>
        <v>0</v>
      </c>
      <c r="C3546" s="274">
        <f>$C$3070</f>
        <v>-2.041391379934528E-2</v>
      </c>
      <c r="D3546" s="274">
        <f>$D$3070</f>
        <v>-2.8914114250375459E-3</v>
      </c>
      <c r="E3546" s="274">
        <f>$E$3070</f>
        <v>-9.6960438948340468E-3</v>
      </c>
      <c r="F3546" s="274">
        <f>$F$3070</f>
        <v>-1.8515446941553457E-3</v>
      </c>
      <c r="G3546" s="274">
        <f>$G$3070</f>
        <v>0</v>
      </c>
      <c r="H3546" s="274">
        <f>$H$3070</f>
        <v>-6.5941048172821421E-3</v>
      </c>
      <c r="I3546" s="274">
        <f>$I$3070</f>
        <v>0</v>
      </c>
      <c r="J3546" s="274">
        <f>$J$3070</f>
        <v>0</v>
      </c>
      <c r="K3546" s="291"/>
      <c r="L3546" s="291"/>
      <c r="M3546" s="274">
        <f>$K$3070</f>
        <v>0</v>
      </c>
      <c r="N3546" s="274">
        <f>$L$3070</f>
        <v>-1.3443821026456408E-2</v>
      </c>
      <c r="O3546" s="274">
        <f>$M$3070</f>
        <v>-1.9041727173993814E-3</v>
      </c>
      <c r="P3546" s="274">
        <f>$N$3070</f>
        <v>-6.3854427949526704E-3</v>
      </c>
      <c r="Q3546" s="274">
        <f>$O$3070</f>
        <v>-6.4176650183376356E-3</v>
      </c>
      <c r="R3546" s="274">
        <f>$P$3070</f>
        <v>0</v>
      </c>
      <c r="S3546" s="274">
        <f>$Q$3070</f>
        <v>-2.2855919139682788E-2</v>
      </c>
      <c r="T3546" s="274">
        <f>$R$3070</f>
        <v>0</v>
      </c>
      <c r="U3546" s="274">
        <f>$S$3070</f>
        <v>0</v>
      </c>
      <c r="V3546" s="291"/>
      <c r="W3546" s="291"/>
      <c r="X3546" s="265"/>
    </row>
    <row r="3547" spans="1:24">
      <c r="A3547" s="285" t="s">
        <v>1519</v>
      </c>
      <c r="B3547" s="274">
        <f>$B$3071</f>
        <v>0</v>
      </c>
      <c r="C3547" s="274">
        <f>$C$3071</f>
        <v>-2.041391379934528E-2</v>
      </c>
      <c r="D3547" s="274">
        <f>$D$3071</f>
        <v>-2.8914114250375459E-3</v>
      </c>
      <c r="E3547" s="274">
        <f>$E$3071</f>
        <v>-9.6960438948340468E-3</v>
      </c>
      <c r="F3547" s="274">
        <f>$F$3071</f>
        <v>-1.8515446941553457E-3</v>
      </c>
      <c r="G3547" s="274">
        <f>$G$3071</f>
        <v>0</v>
      </c>
      <c r="H3547" s="274">
        <f>$H$3071</f>
        <v>-6.5941048172821421E-3</v>
      </c>
      <c r="I3547" s="274">
        <f>$I$3071</f>
        <v>0</v>
      </c>
      <c r="J3547" s="274">
        <f>$J$3071</f>
        <v>0</v>
      </c>
      <c r="K3547" s="291"/>
      <c r="L3547" s="291"/>
      <c r="M3547" s="274">
        <f>$K$3071</f>
        <v>0</v>
      </c>
      <c r="N3547" s="274">
        <f>$L$3071</f>
        <v>-1.3443821026456408E-2</v>
      </c>
      <c r="O3547" s="274">
        <f>$M$3071</f>
        <v>-1.9041727173993814E-3</v>
      </c>
      <c r="P3547" s="274">
        <f>$N$3071</f>
        <v>-6.3854427949526704E-3</v>
      </c>
      <c r="Q3547" s="274">
        <f>$O$3071</f>
        <v>-6.4176650183376356E-3</v>
      </c>
      <c r="R3547" s="274">
        <f>$P$3071</f>
        <v>0</v>
      </c>
      <c r="S3547" s="274">
        <f>$Q$3071</f>
        <v>-2.2855919139682788E-2</v>
      </c>
      <c r="T3547" s="274">
        <f>$R$3071</f>
        <v>0</v>
      </c>
      <c r="U3547" s="274">
        <f>$S$3071</f>
        <v>0</v>
      </c>
      <c r="V3547" s="291"/>
      <c r="W3547" s="291"/>
      <c r="X3547" s="265"/>
    </row>
    <row r="3548" spans="1:24">
      <c r="A3548" s="285" t="s">
        <v>74</v>
      </c>
      <c r="B3548" s="291"/>
      <c r="C3548" s="291"/>
      <c r="D3548" s="291"/>
      <c r="E3548" s="291"/>
      <c r="F3548" s="291"/>
      <c r="G3548" s="291"/>
      <c r="H3548" s="291"/>
      <c r="I3548" s="291"/>
      <c r="J3548" s="291"/>
      <c r="K3548" s="291"/>
      <c r="L3548" s="291"/>
      <c r="M3548" s="291"/>
      <c r="N3548" s="291"/>
      <c r="O3548" s="291"/>
      <c r="P3548" s="291"/>
      <c r="Q3548" s="291"/>
      <c r="R3548" s="291"/>
      <c r="S3548" s="291"/>
      <c r="T3548" s="291"/>
      <c r="U3548" s="291"/>
      <c r="V3548" s="291"/>
      <c r="W3548" s="291"/>
      <c r="X3548" s="265"/>
    </row>
    <row r="3549" spans="1:24">
      <c r="A3549" s="285" t="s">
        <v>1520</v>
      </c>
      <c r="B3549" s="291"/>
      <c r="C3549" s="291"/>
      <c r="D3549" s="291"/>
      <c r="E3549" s="291"/>
      <c r="F3549" s="291"/>
      <c r="G3549" s="291"/>
      <c r="H3549" s="291"/>
      <c r="I3549" s="291"/>
      <c r="J3549" s="291"/>
      <c r="K3549" s="291"/>
      <c r="L3549" s="291"/>
      <c r="M3549" s="291"/>
      <c r="N3549" s="291"/>
      <c r="O3549" s="291"/>
      <c r="P3549" s="291"/>
      <c r="Q3549" s="291"/>
      <c r="R3549" s="291"/>
      <c r="S3549" s="291"/>
      <c r="T3549" s="291"/>
      <c r="U3549" s="291"/>
      <c r="V3549" s="291"/>
      <c r="W3549" s="291"/>
      <c r="X3549" s="265"/>
    </row>
    <row r="3550" spans="1:24">
      <c r="A3550" s="285" t="s">
        <v>75</v>
      </c>
      <c r="B3550" s="274">
        <f>$B$3072</f>
        <v>0</v>
      </c>
      <c r="C3550" s="274">
        <f>$C$3072</f>
        <v>-2.0199849879619067E-2</v>
      </c>
      <c r="D3550" s="274">
        <f>$D$3072</f>
        <v>-9.4416021881063952E-4</v>
      </c>
      <c r="E3550" s="274">
        <f>$E$3072</f>
        <v>-3.1661419215790799E-3</v>
      </c>
      <c r="F3550" s="274">
        <f>$F$3072</f>
        <v>0</v>
      </c>
      <c r="G3550" s="274">
        <f>$G$3072</f>
        <v>0</v>
      </c>
      <c r="H3550" s="274">
        <f>$H$3072</f>
        <v>0</v>
      </c>
      <c r="I3550" s="274">
        <f>$I$3072</f>
        <v>0</v>
      </c>
      <c r="J3550" s="274">
        <f>$J$3072</f>
        <v>0</v>
      </c>
      <c r="K3550" s="291"/>
      <c r="L3550" s="291"/>
      <c r="M3550" s="274">
        <f>$K$3072</f>
        <v>0</v>
      </c>
      <c r="N3550" s="274">
        <f>$L$3072</f>
        <v>-1.3302846735425884E-2</v>
      </c>
      <c r="O3550" s="274">
        <f>$M$3072</f>
        <v>-1.8842052246525816E-3</v>
      </c>
      <c r="P3550" s="274">
        <f>$N$3072</f>
        <v>-6.3184839095909179E-3</v>
      </c>
      <c r="Q3550" s="274">
        <f>$O$3072</f>
        <v>-6.3503682450280893E-3</v>
      </c>
      <c r="R3550" s="274">
        <f>$P$3072</f>
        <v>0</v>
      </c>
      <c r="S3550" s="274">
        <f>$Q$3072</f>
        <v>0</v>
      </c>
      <c r="T3550" s="274">
        <f>$R$3072</f>
        <v>0</v>
      </c>
      <c r="U3550" s="274">
        <f>$S$3072</f>
        <v>0</v>
      </c>
      <c r="V3550" s="291"/>
      <c r="W3550" s="291"/>
      <c r="X3550" s="265"/>
    </row>
    <row r="3551" spans="1:24">
      <c r="A3551" s="285" t="s">
        <v>1521</v>
      </c>
      <c r="B3551" s="274">
        <f>$B$3073</f>
        <v>0</v>
      </c>
      <c r="C3551" s="274">
        <f>$C$3073</f>
        <v>-2.0199849879619067E-2</v>
      </c>
      <c r="D3551" s="274">
        <f>$D$3073</f>
        <v>-9.4416021881063952E-4</v>
      </c>
      <c r="E3551" s="274">
        <f>$E$3073</f>
        <v>-3.1661419215790799E-3</v>
      </c>
      <c r="F3551" s="274">
        <f>$F$3073</f>
        <v>0</v>
      </c>
      <c r="G3551" s="274">
        <f>$G$3073</f>
        <v>0</v>
      </c>
      <c r="H3551" s="274">
        <f>$H$3073</f>
        <v>0</v>
      </c>
      <c r="I3551" s="274">
        <f>$I$3073</f>
        <v>0</v>
      </c>
      <c r="J3551" s="274">
        <f>$J$3073</f>
        <v>0</v>
      </c>
      <c r="K3551" s="291"/>
      <c r="L3551" s="291"/>
      <c r="M3551" s="274">
        <f>$K$3073</f>
        <v>0</v>
      </c>
      <c r="N3551" s="274">
        <f>$L$3073</f>
        <v>-1.3302846735425884E-2</v>
      </c>
      <c r="O3551" s="274">
        <f>$M$3073</f>
        <v>-1.8842052246525816E-3</v>
      </c>
      <c r="P3551" s="274">
        <f>$N$3073</f>
        <v>-6.3184839095909179E-3</v>
      </c>
      <c r="Q3551" s="274">
        <f>$O$3073</f>
        <v>-6.3503682450280893E-3</v>
      </c>
      <c r="R3551" s="274">
        <f>$P$3073</f>
        <v>0</v>
      </c>
      <c r="S3551" s="274">
        <f>$Q$3073</f>
        <v>0</v>
      </c>
      <c r="T3551" s="274">
        <f>$R$3073</f>
        <v>0</v>
      </c>
      <c r="U3551" s="274">
        <f>$S$3073</f>
        <v>0</v>
      </c>
      <c r="V3551" s="291"/>
      <c r="W3551" s="291"/>
      <c r="X3551" s="265"/>
    </row>
    <row r="3553" spans="1:24" ht="21" customHeight="1">
      <c r="A3553" s="1" t="s">
        <v>702</v>
      </c>
    </row>
    <row r="3554" spans="1:24">
      <c r="A3554" s="264" t="s">
        <v>217</v>
      </c>
    </row>
    <row r="3555" spans="1:24">
      <c r="A3555" s="269" t="s">
        <v>1185</v>
      </c>
    </row>
    <row r="3556" spans="1:24">
      <c r="A3556" s="269" t="s">
        <v>703</v>
      </c>
    </row>
    <row r="3557" spans="1:24">
      <c r="A3557" s="269" t="s">
        <v>704</v>
      </c>
    </row>
    <row r="3558" spans="1:24">
      <c r="A3558" s="269" t="s">
        <v>705</v>
      </c>
    </row>
    <row r="3559" spans="1:24">
      <c r="A3559" s="269" t="s">
        <v>706</v>
      </c>
    </row>
    <row r="3560" spans="1:24">
      <c r="A3560" s="264" t="s">
        <v>303</v>
      </c>
    </row>
    <row r="3562" spans="1:24" ht="30">
      <c r="B3562" s="284" t="s">
        <v>22</v>
      </c>
      <c r="C3562" s="284" t="s">
        <v>182</v>
      </c>
      <c r="D3562" s="284" t="s">
        <v>183</v>
      </c>
      <c r="E3562" s="284" t="s">
        <v>184</v>
      </c>
      <c r="F3562" s="284" t="s">
        <v>185</v>
      </c>
      <c r="G3562" s="284" t="s">
        <v>186</v>
      </c>
      <c r="H3562" s="284" t="s">
        <v>187</v>
      </c>
      <c r="I3562" s="284" t="s">
        <v>188</v>
      </c>
      <c r="J3562" s="284" t="s">
        <v>189</v>
      </c>
      <c r="K3562" s="284" t="s">
        <v>326</v>
      </c>
      <c r="L3562" s="284" t="s">
        <v>333</v>
      </c>
      <c r="M3562" s="284" t="s">
        <v>170</v>
      </c>
      <c r="N3562" s="284" t="s">
        <v>567</v>
      </c>
      <c r="O3562" s="284" t="s">
        <v>568</v>
      </c>
      <c r="P3562" s="284" t="s">
        <v>569</v>
      </c>
      <c r="Q3562" s="284" t="s">
        <v>570</v>
      </c>
      <c r="R3562" s="284" t="s">
        <v>571</v>
      </c>
      <c r="S3562" s="284" t="s">
        <v>572</v>
      </c>
      <c r="T3562" s="284" t="s">
        <v>573</v>
      </c>
      <c r="U3562" s="284" t="s">
        <v>574</v>
      </c>
      <c r="V3562" s="284" t="s">
        <v>575</v>
      </c>
      <c r="W3562" s="284" t="s">
        <v>576</v>
      </c>
    </row>
    <row r="3563" spans="1:24">
      <c r="A3563" s="285" t="s">
        <v>54</v>
      </c>
      <c r="B3563" s="274">
        <f>$B$3324</f>
        <v>0</v>
      </c>
      <c r="C3563" s="274">
        <f>$C$3324</f>
        <v>0</v>
      </c>
      <c r="D3563" s="274">
        <f>$D$3324</f>
        <v>0</v>
      </c>
      <c r="E3563" s="274">
        <f>$E$3324</f>
        <v>0</v>
      </c>
      <c r="F3563" s="274">
        <f>$F$3324</f>
        <v>0</v>
      </c>
      <c r="G3563" s="274">
        <f>$G$3324</f>
        <v>0</v>
      </c>
      <c r="H3563" s="274">
        <f>$H$3324</f>
        <v>0</v>
      </c>
      <c r="I3563" s="274">
        <f>$I$3324</f>
        <v>0</v>
      </c>
      <c r="J3563" s="274">
        <f>$J$3324</f>
        <v>0.20766232662557069</v>
      </c>
      <c r="K3563" s="274">
        <f>$B$901</f>
        <v>0</v>
      </c>
      <c r="L3563" s="274">
        <f>$C$901</f>
        <v>0</v>
      </c>
      <c r="M3563" s="274">
        <f>$K$3324</f>
        <v>0</v>
      </c>
      <c r="N3563" s="274">
        <f>$L$3324</f>
        <v>0</v>
      </c>
      <c r="O3563" s="274">
        <f>$M$3324</f>
        <v>0</v>
      </c>
      <c r="P3563" s="274">
        <f>$N$3324</f>
        <v>0</v>
      </c>
      <c r="Q3563" s="274">
        <f>$O$3324</f>
        <v>0</v>
      </c>
      <c r="R3563" s="274">
        <f>$P$3324</f>
        <v>0</v>
      </c>
      <c r="S3563" s="274">
        <f>$Q$3324</f>
        <v>0</v>
      </c>
      <c r="T3563" s="274">
        <f>$R$3324</f>
        <v>0</v>
      </c>
      <c r="U3563" s="274">
        <f>$S$3324</f>
        <v>2.7351689446060479</v>
      </c>
      <c r="V3563" s="274">
        <f>$B$2746</f>
        <v>2.8745347299622734</v>
      </c>
      <c r="W3563" s="274">
        <f>$C$2746</f>
        <v>0</v>
      </c>
      <c r="X3563" s="265"/>
    </row>
    <row r="3564" spans="1:24">
      <c r="A3564" s="285" t="s">
        <v>55</v>
      </c>
      <c r="B3564" s="274">
        <f>$B$3325</f>
        <v>0</v>
      </c>
      <c r="C3564" s="274">
        <f>$C$3325</f>
        <v>0</v>
      </c>
      <c r="D3564" s="274">
        <f>$D$3325</f>
        <v>0</v>
      </c>
      <c r="E3564" s="274">
        <f>$E$3325</f>
        <v>0</v>
      </c>
      <c r="F3564" s="274">
        <f>$F$3325</f>
        <v>0</v>
      </c>
      <c r="G3564" s="274">
        <f>$G$3325</f>
        <v>0</v>
      </c>
      <c r="H3564" s="274">
        <f>$H$3325</f>
        <v>0</v>
      </c>
      <c r="I3564" s="274">
        <f>$I$3325</f>
        <v>0</v>
      </c>
      <c r="J3564" s="274">
        <f>$J$3325</f>
        <v>0.20766232662557069</v>
      </c>
      <c r="K3564" s="274">
        <f>$B$902</f>
        <v>0</v>
      </c>
      <c r="L3564" s="274">
        <f>$C$902</f>
        <v>0</v>
      </c>
      <c r="M3564" s="274">
        <f>$K$3325</f>
        <v>0</v>
      </c>
      <c r="N3564" s="274">
        <f>$L$3325</f>
        <v>0</v>
      </c>
      <c r="O3564" s="274">
        <f>$M$3325</f>
        <v>0</v>
      </c>
      <c r="P3564" s="274">
        <f>$N$3325</f>
        <v>0</v>
      </c>
      <c r="Q3564" s="274">
        <f>$O$3325</f>
        <v>0</v>
      </c>
      <c r="R3564" s="274">
        <f>$P$3325</f>
        <v>0</v>
      </c>
      <c r="S3564" s="274">
        <f>$Q$3325</f>
        <v>0</v>
      </c>
      <c r="T3564" s="274">
        <f>$R$3325</f>
        <v>0</v>
      </c>
      <c r="U3564" s="274">
        <f>$S$3325</f>
        <v>2.7351689446060479</v>
      </c>
      <c r="V3564" s="274">
        <f>$B$2747</f>
        <v>2.8745347299622734</v>
      </c>
      <c r="W3564" s="274">
        <f>$C$2747</f>
        <v>0</v>
      </c>
      <c r="X3564" s="265"/>
    </row>
    <row r="3565" spans="1:24">
      <c r="A3565" s="285" t="s">
        <v>91</v>
      </c>
      <c r="B3565" s="291"/>
      <c r="C3565" s="291"/>
      <c r="D3565" s="291"/>
      <c r="E3565" s="291"/>
      <c r="F3565" s="291"/>
      <c r="G3565" s="291"/>
      <c r="H3565" s="291"/>
      <c r="I3565" s="291"/>
      <c r="J3565" s="291"/>
      <c r="K3565" s="291"/>
      <c r="L3565" s="291"/>
      <c r="M3565" s="291"/>
      <c r="N3565" s="291"/>
      <c r="O3565" s="291"/>
      <c r="P3565" s="291"/>
      <c r="Q3565" s="291"/>
      <c r="R3565" s="291"/>
      <c r="S3565" s="291"/>
      <c r="T3565" s="291"/>
      <c r="U3565" s="291"/>
      <c r="V3565" s="291"/>
      <c r="W3565" s="291"/>
      <c r="X3565" s="265"/>
    </row>
    <row r="3566" spans="1:24">
      <c r="A3566" s="285" t="s">
        <v>56</v>
      </c>
      <c r="B3566" s="274">
        <f>$B$3326</f>
        <v>0</v>
      </c>
      <c r="C3566" s="274">
        <f>$C$3326</f>
        <v>0</v>
      </c>
      <c r="D3566" s="274">
        <f>$D$3326</f>
        <v>0</v>
      </c>
      <c r="E3566" s="274">
        <f>$E$3326</f>
        <v>0</v>
      </c>
      <c r="F3566" s="274">
        <f>$F$3326</f>
        <v>0</v>
      </c>
      <c r="G3566" s="274">
        <f>$G$3326</f>
        <v>0</v>
      </c>
      <c r="H3566" s="274">
        <f>$H$3326</f>
        <v>0</v>
      </c>
      <c r="I3566" s="274">
        <f>$I$3326</f>
        <v>0</v>
      </c>
      <c r="J3566" s="274">
        <f>$J$3326</f>
        <v>0.20766232662557069</v>
      </c>
      <c r="K3566" s="274">
        <f>$B$904</f>
        <v>0</v>
      </c>
      <c r="L3566" s="274">
        <f>$C$904</f>
        <v>0</v>
      </c>
      <c r="M3566" s="274">
        <f>$K$3326</f>
        <v>0</v>
      </c>
      <c r="N3566" s="274">
        <f>$L$3326</f>
        <v>0</v>
      </c>
      <c r="O3566" s="274">
        <f>$M$3326</f>
        <v>0</v>
      </c>
      <c r="P3566" s="274">
        <f>$N$3326</f>
        <v>0</v>
      </c>
      <c r="Q3566" s="274">
        <f>$O$3326</f>
        <v>0</v>
      </c>
      <c r="R3566" s="274">
        <f>$P$3326</f>
        <v>0</v>
      </c>
      <c r="S3566" s="274">
        <f>$Q$3326</f>
        <v>0</v>
      </c>
      <c r="T3566" s="274">
        <f>$R$3326</f>
        <v>0</v>
      </c>
      <c r="U3566" s="274">
        <f>$S$3326</f>
        <v>2.7351689446060479</v>
      </c>
      <c r="V3566" s="274">
        <f>$B$2749</f>
        <v>6.4671283567213038</v>
      </c>
      <c r="W3566" s="274">
        <f>$C$2749</f>
        <v>0</v>
      </c>
      <c r="X3566" s="265"/>
    </row>
    <row r="3567" spans="1:24">
      <c r="A3567" s="285" t="s">
        <v>57</v>
      </c>
      <c r="B3567" s="274">
        <f>$B$3327</f>
        <v>0</v>
      </c>
      <c r="C3567" s="274">
        <f>$C$3327</f>
        <v>0</v>
      </c>
      <c r="D3567" s="274">
        <f>$D$3327</f>
        <v>0</v>
      </c>
      <c r="E3567" s="274">
        <f>$E$3327</f>
        <v>0</v>
      </c>
      <c r="F3567" s="274">
        <f>$F$3327</f>
        <v>0</v>
      </c>
      <c r="G3567" s="274">
        <f>$G$3327</f>
        <v>0</v>
      </c>
      <c r="H3567" s="274">
        <f>$H$3327</f>
        <v>0</v>
      </c>
      <c r="I3567" s="274">
        <f>$I$3327</f>
        <v>0</v>
      </c>
      <c r="J3567" s="274">
        <f>$J$3327</f>
        <v>0.20766232662557069</v>
      </c>
      <c r="K3567" s="274">
        <f>$B$905</f>
        <v>0</v>
      </c>
      <c r="L3567" s="274">
        <f>$C$905</f>
        <v>0</v>
      </c>
      <c r="M3567" s="274">
        <f>$K$3327</f>
        <v>0</v>
      </c>
      <c r="N3567" s="274">
        <f>$L$3327</f>
        <v>0</v>
      </c>
      <c r="O3567" s="274">
        <f>$M$3327</f>
        <v>0</v>
      </c>
      <c r="P3567" s="274">
        <f>$N$3327</f>
        <v>0</v>
      </c>
      <c r="Q3567" s="274">
        <f>$O$3327</f>
        <v>0</v>
      </c>
      <c r="R3567" s="274">
        <f>$P$3327</f>
        <v>0</v>
      </c>
      <c r="S3567" s="274">
        <f>$Q$3327</f>
        <v>0</v>
      </c>
      <c r="T3567" s="274">
        <f>$R$3327</f>
        <v>0</v>
      </c>
      <c r="U3567" s="274">
        <f>$S$3327</f>
        <v>2.7351689446060479</v>
      </c>
      <c r="V3567" s="274">
        <f>$B$2750</f>
        <v>6.4671283567213038</v>
      </c>
      <c r="W3567" s="274">
        <f>$C$2750</f>
        <v>0</v>
      </c>
      <c r="X3567" s="265"/>
    </row>
    <row r="3568" spans="1:24">
      <c r="A3568" s="285" t="s">
        <v>92</v>
      </c>
      <c r="B3568" s="291"/>
      <c r="C3568" s="291"/>
      <c r="D3568" s="291"/>
      <c r="E3568" s="291"/>
      <c r="F3568" s="291"/>
      <c r="G3568" s="291"/>
      <c r="H3568" s="291"/>
      <c r="I3568" s="291"/>
      <c r="J3568" s="291"/>
      <c r="K3568" s="291"/>
      <c r="L3568" s="291"/>
      <c r="M3568" s="291"/>
      <c r="N3568" s="291"/>
      <c r="O3568" s="291"/>
      <c r="P3568" s="291"/>
      <c r="Q3568" s="291"/>
      <c r="R3568" s="291"/>
      <c r="S3568" s="291"/>
      <c r="T3568" s="291"/>
      <c r="U3568" s="291"/>
      <c r="V3568" s="291"/>
      <c r="W3568" s="291"/>
      <c r="X3568" s="265"/>
    </row>
    <row r="3569" spans="1:24">
      <c r="A3569" s="285" t="s">
        <v>58</v>
      </c>
      <c r="B3569" s="274">
        <f>$B$3328</f>
        <v>0</v>
      </c>
      <c r="C3569" s="274">
        <f>$C$3328</f>
        <v>0</v>
      </c>
      <c r="D3569" s="274">
        <f>$D$3328</f>
        <v>0</v>
      </c>
      <c r="E3569" s="274">
        <f>$E$3328</f>
        <v>0</v>
      </c>
      <c r="F3569" s="274">
        <f>$F$3328</f>
        <v>0</v>
      </c>
      <c r="G3569" s="274">
        <f>$G$3328</f>
        <v>0</v>
      </c>
      <c r="H3569" s="274">
        <f>$H$3328</f>
        <v>0</v>
      </c>
      <c r="I3569" s="274">
        <f>$I$3328</f>
        <v>0</v>
      </c>
      <c r="J3569" s="274">
        <f>$J$3328</f>
        <v>2.3937647919692262</v>
      </c>
      <c r="K3569" s="274">
        <f>$B$907</f>
        <v>0</v>
      </c>
      <c r="L3569" s="274">
        <f>$C$907</f>
        <v>0</v>
      </c>
      <c r="M3569" s="274">
        <f>$K$3328</f>
        <v>0</v>
      </c>
      <c r="N3569" s="274">
        <f>$L$3328</f>
        <v>0</v>
      </c>
      <c r="O3569" s="274">
        <f>$M$3328</f>
        <v>0</v>
      </c>
      <c r="P3569" s="274">
        <f>$N$3328</f>
        <v>0</v>
      </c>
      <c r="Q3569" s="274">
        <f>$O$3328</f>
        <v>0</v>
      </c>
      <c r="R3569" s="274">
        <f>$P$3328</f>
        <v>0</v>
      </c>
      <c r="S3569" s="274">
        <f>$Q$3328</f>
        <v>0</v>
      </c>
      <c r="T3569" s="274">
        <f>$R$3328</f>
        <v>0</v>
      </c>
      <c r="U3569" s="274">
        <f>$S$3328</f>
        <v>31.52883445966058</v>
      </c>
      <c r="V3569" s="274">
        <f>$B$2752</f>
        <v>7.8736826994482305</v>
      </c>
      <c r="W3569" s="274">
        <f>$C$2752</f>
        <v>0</v>
      </c>
      <c r="X3569" s="265"/>
    </row>
    <row r="3570" spans="1:24">
      <c r="A3570" s="285" t="s">
        <v>59</v>
      </c>
      <c r="B3570" s="274">
        <f>$B$3329</f>
        <v>0</v>
      </c>
      <c r="C3570" s="274">
        <f>$C$3329</f>
        <v>0</v>
      </c>
      <c r="D3570" s="274">
        <f>$D$3329</f>
        <v>0</v>
      </c>
      <c r="E3570" s="274">
        <f>$E$3329</f>
        <v>0</v>
      </c>
      <c r="F3570" s="274">
        <f>$F$3329</f>
        <v>0</v>
      </c>
      <c r="G3570" s="274">
        <f>$G$3329</f>
        <v>0</v>
      </c>
      <c r="H3570" s="274">
        <f>$H$3329</f>
        <v>0</v>
      </c>
      <c r="I3570" s="274">
        <f>$I$3329</f>
        <v>1.6325560864320499</v>
      </c>
      <c r="J3570" s="274">
        <f>$J$3329</f>
        <v>0</v>
      </c>
      <c r="K3570" s="274">
        <f>$B$908</f>
        <v>0</v>
      </c>
      <c r="L3570" s="274">
        <f>$C$908</f>
        <v>0</v>
      </c>
      <c r="M3570" s="274">
        <f>$K$3329</f>
        <v>0</v>
      </c>
      <c r="N3570" s="274">
        <f>$L$3329</f>
        <v>0</v>
      </c>
      <c r="O3570" s="274">
        <f>$M$3329</f>
        <v>0</v>
      </c>
      <c r="P3570" s="274">
        <f>$N$3329</f>
        <v>0</v>
      </c>
      <c r="Q3570" s="274">
        <f>$O$3329</f>
        <v>0</v>
      </c>
      <c r="R3570" s="274">
        <f>$P$3329</f>
        <v>0</v>
      </c>
      <c r="S3570" s="274">
        <f>$Q$3329</f>
        <v>0</v>
      </c>
      <c r="T3570" s="274">
        <f>$R$3329</f>
        <v>21.502777034699221</v>
      </c>
      <c r="U3570" s="274">
        <f>$S$3329</f>
        <v>0</v>
      </c>
      <c r="V3570" s="274">
        <f>$B$2753</f>
        <v>5.8392803071144987</v>
      </c>
      <c r="W3570" s="274">
        <f>$C$2753</f>
        <v>0</v>
      </c>
      <c r="X3570" s="265"/>
    </row>
    <row r="3571" spans="1:24">
      <c r="A3571" s="285" t="s">
        <v>72</v>
      </c>
      <c r="B3571" s="274">
        <f>$B$3330</f>
        <v>0</v>
      </c>
      <c r="C3571" s="274">
        <f>$C$3330</f>
        <v>0</v>
      </c>
      <c r="D3571" s="274">
        <f>$D$3330</f>
        <v>0</v>
      </c>
      <c r="E3571" s="274">
        <f>$E$3330</f>
        <v>2.3770128584630981</v>
      </c>
      <c r="F3571" s="274">
        <f>$F$3330</f>
        <v>0</v>
      </c>
      <c r="G3571" s="274">
        <f>$G$3330</f>
        <v>0</v>
      </c>
      <c r="H3571" s="274">
        <f>$H$3330</f>
        <v>0</v>
      </c>
      <c r="I3571" s="274">
        <f>$I$3330</f>
        <v>0</v>
      </c>
      <c r="J3571" s="274">
        <f>$J$3330</f>
        <v>0</v>
      </c>
      <c r="K3571" s="274">
        <f>$B$909</f>
        <v>0</v>
      </c>
      <c r="L3571" s="274">
        <f>$C$909</f>
        <v>0</v>
      </c>
      <c r="M3571" s="274">
        <f>$K$3330</f>
        <v>0</v>
      </c>
      <c r="N3571" s="274">
        <f>$L$3330</f>
        <v>0</v>
      </c>
      <c r="O3571" s="274">
        <f>$M$3330</f>
        <v>0</v>
      </c>
      <c r="P3571" s="274">
        <f>$N$3330</f>
        <v>4.7436652781500008</v>
      </c>
      <c r="Q3571" s="274">
        <f>$O$3330</f>
        <v>23.83801381663757</v>
      </c>
      <c r="R3571" s="274">
        <f>$P$3330</f>
        <v>0</v>
      </c>
      <c r="S3571" s="274">
        <f>$Q$3330</f>
        <v>61.968523193279509</v>
      </c>
      <c r="T3571" s="274">
        <f>$R$3330</f>
        <v>0</v>
      </c>
      <c r="U3571" s="274">
        <f>$S$3330</f>
        <v>0</v>
      </c>
      <c r="V3571" s="274">
        <f>$B$2754</f>
        <v>0</v>
      </c>
      <c r="W3571" s="274">
        <f>$C$2754</f>
        <v>101.43191906755858</v>
      </c>
      <c r="X3571" s="265"/>
    </row>
    <row r="3572" spans="1:24">
      <c r="A3572" s="285" t="s">
        <v>1178</v>
      </c>
      <c r="B3572" s="274">
        <f>$B$3331</f>
        <v>0</v>
      </c>
      <c r="C3572" s="274">
        <f>$C$3331</f>
        <v>0</v>
      </c>
      <c r="D3572" s="274">
        <f>$D$3331</f>
        <v>0</v>
      </c>
      <c r="E3572" s="274">
        <f>$E$3331</f>
        <v>0</v>
      </c>
      <c r="F3572" s="274">
        <f>$F$3331</f>
        <v>0</v>
      </c>
      <c r="G3572" s="274">
        <f>$G$3331</f>
        <v>0</v>
      </c>
      <c r="H3572" s="274">
        <f>$H$3331</f>
        <v>0</v>
      </c>
      <c r="I3572" s="274">
        <f>$I$3331</f>
        <v>0</v>
      </c>
      <c r="J3572" s="274">
        <f>$J$3331</f>
        <v>0.20766232662557069</v>
      </c>
      <c r="K3572" s="274">
        <f>$B$910</f>
        <v>0</v>
      </c>
      <c r="L3572" s="274">
        <f>$C$910</f>
        <v>0</v>
      </c>
      <c r="M3572" s="274">
        <f>$K$3331</f>
        <v>0</v>
      </c>
      <c r="N3572" s="274">
        <f>$L$3331</f>
        <v>0</v>
      </c>
      <c r="O3572" s="274">
        <f>$M$3331</f>
        <v>0</v>
      </c>
      <c r="P3572" s="274">
        <f>$N$3331</f>
        <v>0</v>
      </c>
      <c r="Q3572" s="274">
        <f>$O$3331</f>
        <v>0</v>
      </c>
      <c r="R3572" s="274">
        <f>$P$3331</f>
        <v>0</v>
      </c>
      <c r="S3572" s="274">
        <f>$Q$3331</f>
        <v>0</v>
      </c>
      <c r="T3572" s="274">
        <f>$R$3331</f>
        <v>0</v>
      </c>
      <c r="U3572" s="274">
        <f>$S$3331</f>
        <v>2.7351689446060479</v>
      </c>
      <c r="V3572" s="274">
        <f>$B$2755</f>
        <v>2.8745347299622734</v>
      </c>
      <c r="W3572" s="274">
        <f>$C$2755</f>
        <v>0</v>
      </c>
      <c r="X3572" s="265"/>
    </row>
    <row r="3573" spans="1:24">
      <c r="A3573" s="285" t="s">
        <v>1177</v>
      </c>
      <c r="B3573" s="274">
        <f>$B$3332</f>
        <v>0</v>
      </c>
      <c r="C3573" s="274">
        <f>$C$3332</f>
        <v>0</v>
      </c>
      <c r="D3573" s="274">
        <f>$D$3332</f>
        <v>0</v>
      </c>
      <c r="E3573" s="274">
        <f>$E$3332</f>
        <v>0</v>
      </c>
      <c r="F3573" s="274">
        <f>$F$3332</f>
        <v>0</v>
      </c>
      <c r="G3573" s="274">
        <f>$G$3332</f>
        <v>0</v>
      </c>
      <c r="H3573" s="274">
        <f>$H$3332</f>
        <v>0</v>
      </c>
      <c r="I3573" s="274">
        <f>$I$3332</f>
        <v>0</v>
      </c>
      <c r="J3573" s="274">
        <f>$J$3332</f>
        <v>0.20766232662557069</v>
      </c>
      <c r="K3573" s="274">
        <f>$B$911</f>
        <v>0</v>
      </c>
      <c r="L3573" s="274">
        <f>$C$911</f>
        <v>0</v>
      </c>
      <c r="M3573" s="274">
        <f>$K$3332</f>
        <v>0</v>
      </c>
      <c r="N3573" s="274">
        <f>$L$3332</f>
        <v>0</v>
      </c>
      <c r="O3573" s="274">
        <f>$M$3332</f>
        <v>0</v>
      </c>
      <c r="P3573" s="274">
        <f>$N$3332</f>
        <v>0</v>
      </c>
      <c r="Q3573" s="274">
        <f>$O$3332</f>
        <v>0</v>
      </c>
      <c r="R3573" s="274">
        <f>$P$3332</f>
        <v>0</v>
      </c>
      <c r="S3573" s="274">
        <f>$Q$3332</f>
        <v>0</v>
      </c>
      <c r="T3573" s="274">
        <f>$R$3332</f>
        <v>0</v>
      </c>
      <c r="U3573" s="274">
        <f>$S$3332</f>
        <v>2.7351689446060479</v>
      </c>
      <c r="V3573" s="274">
        <f>$B$2756</f>
        <v>6.4671283567213038</v>
      </c>
      <c r="W3573" s="274">
        <f>$C$2756</f>
        <v>0</v>
      </c>
      <c r="X3573" s="265"/>
    </row>
    <row r="3574" spans="1:24">
      <c r="A3574" s="285" t="s">
        <v>60</v>
      </c>
      <c r="B3574" s="291"/>
      <c r="C3574" s="291"/>
      <c r="D3574" s="291"/>
      <c r="E3574" s="291"/>
      <c r="F3574" s="291"/>
      <c r="G3574" s="291"/>
      <c r="H3574" s="291"/>
      <c r="I3574" s="291"/>
      <c r="J3574" s="291"/>
      <c r="K3574" s="274">
        <f>$B$912</f>
        <v>0</v>
      </c>
      <c r="L3574" s="274">
        <f>$C$912</f>
        <v>0</v>
      </c>
      <c r="M3574" s="291"/>
      <c r="N3574" s="291"/>
      <c r="O3574" s="291"/>
      <c r="P3574" s="291"/>
      <c r="Q3574" s="291"/>
      <c r="R3574" s="291"/>
      <c r="S3574" s="291"/>
      <c r="T3574" s="291"/>
      <c r="U3574" s="291"/>
      <c r="V3574" s="274">
        <f>$B$2757</f>
        <v>13.273983628288541</v>
      </c>
      <c r="W3574" s="274">
        <f>$C$2757</f>
        <v>0</v>
      </c>
      <c r="X3574" s="265"/>
    </row>
    <row r="3575" spans="1:24">
      <c r="A3575" s="285" t="s">
        <v>61</v>
      </c>
      <c r="B3575" s="291"/>
      <c r="C3575" s="291"/>
      <c r="D3575" s="291"/>
      <c r="E3575" s="291"/>
      <c r="F3575" s="291"/>
      <c r="G3575" s="291"/>
      <c r="H3575" s="291"/>
      <c r="I3575" s="291"/>
      <c r="J3575" s="291"/>
      <c r="K3575" s="274">
        <f>$B$913</f>
        <v>0</v>
      </c>
      <c r="L3575" s="274">
        <f>$C$913</f>
        <v>0</v>
      </c>
      <c r="M3575" s="291"/>
      <c r="N3575" s="291"/>
      <c r="O3575" s="291"/>
      <c r="P3575" s="291"/>
      <c r="Q3575" s="291"/>
      <c r="R3575" s="291"/>
      <c r="S3575" s="291"/>
      <c r="T3575" s="291"/>
      <c r="U3575" s="291"/>
      <c r="V3575" s="274">
        <f>$B$2758</f>
        <v>10.223795939845829</v>
      </c>
      <c r="W3575" s="274">
        <f>$C$2758</f>
        <v>0</v>
      </c>
      <c r="X3575" s="265"/>
    </row>
    <row r="3576" spans="1:24">
      <c r="A3576" s="285" t="s">
        <v>73</v>
      </c>
      <c r="B3576" s="291"/>
      <c r="C3576" s="291"/>
      <c r="D3576" s="291"/>
      <c r="E3576" s="291"/>
      <c r="F3576" s="291"/>
      <c r="G3576" s="291"/>
      <c r="H3576" s="291"/>
      <c r="I3576" s="291"/>
      <c r="J3576" s="291"/>
      <c r="K3576" s="274">
        <f>$B$914</f>
        <v>0</v>
      </c>
      <c r="L3576" s="274">
        <f>$C$914</f>
        <v>0</v>
      </c>
      <c r="M3576" s="291"/>
      <c r="N3576" s="291"/>
      <c r="O3576" s="291"/>
      <c r="P3576" s="291"/>
      <c r="Q3576" s="291"/>
      <c r="R3576" s="291"/>
      <c r="S3576" s="291"/>
      <c r="T3576" s="291"/>
      <c r="U3576" s="291"/>
      <c r="V3576" s="274">
        <f>$B$2759</f>
        <v>0</v>
      </c>
      <c r="W3576" s="274">
        <f>$C$2759</f>
        <v>101.43191906755858</v>
      </c>
      <c r="X3576" s="265"/>
    </row>
    <row r="3577" spans="1:24">
      <c r="A3577" s="285" t="s">
        <v>93</v>
      </c>
      <c r="B3577" s="291"/>
      <c r="C3577" s="291"/>
      <c r="D3577" s="291"/>
      <c r="E3577" s="291"/>
      <c r="F3577" s="291"/>
      <c r="G3577" s="291"/>
      <c r="H3577" s="291"/>
      <c r="I3577" s="291"/>
      <c r="J3577" s="291"/>
      <c r="K3577" s="291"/>
      <c r="L3577" s="291"/>
      <c r="M3577" s="291"/>
      <c r="N3577" s="291"/>
      <c r="O3577" s="291"/>
      <c r="P3577" s="291"/>
      <c r="Q3577" s="291"/>
      <c r="R3577" s="291"/>
      <c r="S3577" s="291"/>
      <c r="T3577" s="291"/>
      <c r="U3577" s="291"/>
      <c r="V3577" s="291"/>
      <c r="W3577" s="291"/>
      <c r="X3577" s="265"/>
    </row>
    <row r="3578" spans="1:24">
      <c r="A3578" s="285" t="s">
        <v>94</v>
      </c>
      <c r="B3578" s="291"/>
      <c r="C3578" s="291"/>
      <c r="D3578" s="291"/>
      <c r="E3578" s="291"/>
      <c r="F3578" s="291"/>
      <c r="G3578" s="291"/>
      <c r="H3578" s="291"/>
      <c r="I3578" s="291"/>
      <c r="J3578" s="291"/>
      <c r="K3578" s="291"/>
      <c r="L3578" s="291"/>
      <c r="M3578" s="291"/>
      <c r="N3578" s="291"/>
      <c r="O3578" s="291"/>
      <c r="P3578" s="291"/>
      <c r="Q3578" s="291"/>
      <c r="R3578" s="291"/>
      <c r="S3578" s="291"/>
      <c r="T3578" s="291"/>
      <c r="U3578" s="291"/>
      <c r="V3578" s="291"/>
      <c r="W3578" s="291"/>
      <c r="X3578" s="265"/>
    </row>
    <row r="3579" spans="1:24">
      <c r="A3579" s="285" t="s">
        <v>95</v>
      </c>
      <c r="B3579" s="291"/>
      <c r="C3579" s="291"/>
      <c r="D3579" s="291"/>
      <c r="E3579" s="291"/>
      <c r="F3579" s="291"/>
      <c r="G3579" s="291"/>
      <c r="H3579" s="291"/>
      <c r="I3579" s="291"/>
      <c r="J3579" s="291"/>
      <c r="K3579" s="291"/>
      <c r="L3579" s="291"/>
      <c r="M3579" s="291"/>
      <c r="N3579" s="291"/>
      <c r="O3579" s="291"/>
      <c r="P3579" s="291"/>
      <c r="Q3579" s="291"/>
      <c r="R3579" s="291"/>
      <c r="S3579" s="291"/>
      <c r="T3579" s="291"/>
      <c r="U3579" s="291"/>
      <c r="V3579" s="291"/>
      <c r="W3579" s="291"/>
      <c r="X3579" s="265"/>
    </row>
    <row r="3580" spans="1:24">
      <c r="A3580" s="285" t="s">
        <v>96</v>
      </c>
      <c r="B3580" s="291"/>
      <c r="C3580" s="291"/>
      <c r="D3580" s="291"/>
      <c r="E3580" s="291"/>
      <c r="F3580" s="291"/>
      <c r="G3580" s="291"/>
      <c r="H3580" s="291"/>
      <c r="I3580" s="291"/>
      <c r="J3580" s="291"/>
      <c r="K3580" s="291"/>
      <c r="L3580" s="291"/>
      <c r="M3580" s="291"/>
      <c r="N3580" s="291"/>
      <c r="O3580" s="291"/>
      <c r="P3580" s="291"/>
      <c r="Q3580" s="291"/>
      <c r="R3580" s="291"/>
      <c r="S3580" s="291"/>
      <c r="T3580" s="291"/>
      <c r="U3580" s="291"/>
      <c r="V3580" s="291"/>
      <c r="W3580" s="291"/>
      <c r="X3580" s="265"/>
    </row>
    <row r="3581" spans="1:24">
      <c r="A3581" s="285" t="s">
        <v>97</v>
      </c>
      <c r="B3581" s="291"/>
      <c r="C3581" s="291"/>
      <c r="D3581" s="291"/>
      <c r="E3581" s="291"/>
      <c r="F3581" s="291"/>
      <c r="G3581" s="291"/>
      <c r="H3581" s="291"/>
      <c r="I3581" s="291"/>
      <c r="J3581" s="291"/>
      <c r="K3581" s="291"/>
      <c r="L3581" s="291"/>
      <c r="M3581" s="291"/>
      <c r="N3581" s="291"/>
      <c r="O3581" s="291"/>
      <c r="P3581" s="291"/>
      <c r="Q3581" s="291"/>
      <c r="R3581" s="291"/>
      <c r="S3581" s="291"/>
      <c r="T3581" s="291"/>
      <c r="U3581" s="291"/>
      <c r="V3581" s="291"/>
      <c r="W3581" s="291"/>
      <c r="X3581" s="265"/>
    </row>
    <row r="3582" spans="1:24">
      <c r="A3582" s="285" t="s">
        <v>1176</v>
      </c>
      <c r="B3582" s="291"/>
      <c r="C3582" s="291"/>
      <c r="D3582" s="291"/>
      <c r="E3582" s="291"/>
      <c r="F3582" s="291"/>
      <c r="G3582" s="291"/>
      <c r="H3582" s="291"/>
      <c r="I3582" s="291"/>
      <c r="J3582" s="291"/>
      <c r="K3582" s="274">
        <f>$B$920</f>
        <v>0</v>
      </c>
      <c r="L3582" s="274">
        <f>$C$920</f>
        <v>0</v>
      </c>
      <c r="M3582" s="291"/>
      <c r="N3582" s="291"/>
      <c r="O3582" s="291"/>
      <c r="P3582" s="291"/>
      <c r="Q3582" s="291"/>
      <c r="R3582" s="291"/>
      <c r="S3582" s="291"/>
      <c r="T3582" s="291"/>
      <c r="U3582" s="291"/>
      <c r="V3582" s="274">
        <f>$B$2765</f>
        <v>0</v>
      </c>
      <c r="W3582" s="274">
        <f>$C$2765</f>
        <v>0</v>
      </c>
      <c r="X3582" s="265"/>
    </row>
    <row r="3583" spans="1:24">
      <c r="A3583" s="285" t="s">
        <v>62</v>
      </c>
      <c r="B3583" s="291"/>
      <c r="C3583" s="291"/>
      <c r="D3583" s="291"/>
      <c r="E3583" s="291"/>
      <c r="F3583" s="291"/>
      <c r="G3583" s="291"/>
      <c r="H3583" s="291"/>
      <c r="I3583" s="291"/>
      <c r="J3583" s="291"/>
      <c r="K3583" s="274">
        <f>$B$921</f>
        <v>0</v>
      </c>
      <c r="L3583" s="274">
        <f>$C$921</f>
        <v>0</v>
      </c>
      <c r="M3583" s="291"/>
      <c r="N3583" s="291"/>
      <c r="O3583" s="291"/>
      <c r="P3583" s="291"/>
      <c r="Q3583" s="291"/>
      <c r="R3583" s="291"/>
      <c r="S3583" s="291"/>
      <c r="T3583" s="291"/>
      <c r="U3583" s="291"/>
      <c r="V3583" s="274">
        <f>$B$2766</f>
        <v>0</v>
      </c>
      <c r="W3583" s="274">
        <f>$C$2766</f>
        <v>0</v>
      </c>
      <c r="X3583" s="265"/>
    </row>
    <row r="3584" spans="1:24">
      <c r="A3584" s="285" t="s">
        <v>63</v>
      </c>
      <c r="B3584" s="291"/>
      <c r="C3584" s="291"/>
      <c r="D3584" s="291"/>
      <c r="E3584" s="291"/>
      <c r="F3584" s="291"/>
      <c r="G3584" s="291"/>
      <c r="H3584" s="291"/>
      <c r="I3584" s="291"/>
      <c r="J3584" s="291"/>
      <c r="K3584" s="274">
        <f>$B$922</f>
        <v>0</v>
      </c>
      <c r="L3584" s="274">
        <f>$C$922</f>
        <v>0</v>
      </c>
      <c r="M3584" s="291"/>
      <c r="N3584" s="291"/>
      <c r="O3584" s="291"/>
      <c r="P3584" s="291"/>
      <c r="Q3584" s="291"/>
      <c r="R3584" s="291"/>
      <c r="S3584" s="291"/>
      <c r="T3584" s="291"/>
      <c r="U3584" s="291"/>
      <c r="V3584" s="274">
        <f>$B$2767</f>
        <v>0</v>
      </c>
      <c r="W3584" s="274">
        <f>$C$2767</f>
        <v>0</v>
      </c>
      <c r="X3584" s="265"/>
    </row>
    <row r="3585" spans="1:24">
      <c r="A3585" s="285" t="s">
        <v>1516</v>
      </c>
      <c r="B3585" s="291"/>
      <c r="C3585" s="291"/>
      <c r="D3585" s="291"/>
      <c r="E3585" s="291"/>
      <c r="F3585" s="291"/>
      <c r="G3585" s="291"/>
      <c r="H3585" s="291"/>
      <c r="I3585" s="291"/>
      <c r="J3585" s="291"/>
      <c r="K3585" s="274">
        <f>$B$923</f>
        <v>0</v>
      </c>
      <c r="L3585" s="274">
        <f>$C$923</f>
        <v>0</v>
      </c>
      <c r="M3585" s="291"/>
      <c r="N3585" s="291"/>
      <c r="O3585" s="291"/>
      <c r="P3585" s="291"/>
      <c r="Q3585" s="291"/>
      <c r="R3585" s="291"/>
      <c r="S3585" s="291"/>
      <c r="T3585" s="291"/>
      <c r="U3585" s="291"/>
      <c r="V3585" s="274">
        <f>$B$2768</f>
        <v>0</v>
      </c>
      <c r="W3585" s="274">
        <f>$C$2768</f>
        <v>0</v>
      </c>
      <c r="X3585" s="265"/>
    </row>
    <row r="3586" spans="1:24">
      <c r="A3586" s="285" t="s">
        <v>64</v>
      </c>
      <c r="B3586" s="291"/>
      <c r="C3586" s="291"/>
      <c r="D3586" s="291"/>
      <c r="E3586" s="291"/>
      <c r="F3586" s="291"/>
      <c r="G3586" s="291"/>
      <c r="H3586" s="291"/>
      <c r="I3586" s="291"/>
      <c r="J3586" s="291"/>
      <c r="K3586" s="274">
        <f>$B$924</f>
        <v>0</v>
      </c>
      <c r="L3586" s="274">
        <f>$C$924</f>
        <v>0</v>
      </c>
      <c r="M3586" s="291"/>
      <c r="N3586" s="291"/>
      <c r="O3586" s="291"/>
      <c r="P3586" s="291"/>
      <c r="Q3586" s="291"/>
      <c r="R3586" s="291"/>
      <c r="S3586" s="291"/>
      <c r="T3586" s="291"/>
      <c r="U3586" s="291"/>
      <c r="V3586" s="274">
        <f>$B$2769</f>
        <v>0</v>
      </c>
      <c r="W3586" s="274">
        <f>$C$2769</f>
        <v>0</v>
      </c>
      <c r="X3586" s="265"/>
    </row>
    <row r="3587" spans="1:24">
      <c r="A3587" s="285" t="s">
        <v>1517</v>
      </c>
      <c r="B3587" s="291"/>
      <c r="C3587" s="291"/>
      <c r="D3587" s="291"/>
      <c r="E3587" s="291"/>
      <c r="F3587" s="291"/>
      <c r="G3587" s="291"/>
      <c r="H3587" s="291"/>
      <c r="I3587" s="291"/>
      <c r="J3587" s="291"/>
      <c r="K3587" s="274">
        <f>$B$925</f>
        <v>0</v>
      </c>
      <c r="L3587" s="274">
        <f>$C$925</f>
        <v>0</v>
      </c>
      <c r="M3587" s="291"/>
      <c r="N3587" s="291"/>
      <c r="O3587" s="291"/>
      <c r="P3587" s="291"/>
      <c r="Q3587" s="291"/>
      <c r="R3587" s="291"/>
      <c r="S3587" s="291"/>
      <c r="T3587" s="291"/>
      <c r="U3587" s="291"/>
      <c r="V3587" s="274">
        <f>$B$2770</f>
        <v>0</v>
      </c>
      <c r="W3587" s="274">
        <f>$C$2770</f>
        <v>0</v>
      </c>
      <c r="X3587" s="265"/>
    </row>
    <row r="3588" spans="1:24">
      <c r="A3588" s="285" t="s">
        <v>65</v>
      </c>
      <c r="B3588" s="291"/>
      <c r="C3588" s="291"/>
      <c r="D3588" s="291"/>
      <c r="E3588" s="291"/>
      <c r="F3588" s="291"/>
      <c r="G3588" s="291"/>
      <c r="H3588" s="291"/>
      <c r="I3588" s="291"/>
      <c r="J3588" s="291"/>
      <c r="K3588" s="274">
        <f>$B$926</f>
        <v>0</v>
      </c>
      <c r="L3588" s="274">
        <f>$C$926</f>
        <v>0</v>
      </c>
      <c r="M3588" s="291"/>
      <c r="N3588" s="291"/>
      <c r="O3588" s="291"/>
      <c r="P3588" s="291"/>
      <c r="Q3588" s="291"/>
      <c r="R3588" s="291"/>
      <c r="S3588" s="291"/>
      <c r="T3588" s="291"/>
      <c r="U3588" s="291"/>
      <c r="V3588" s="274">
        <f>$B$2771</f>
        <v>0</v>
      </c>
      <c r="W3588" s="274">
        <f>$C$2771</f>
        <v>0</v>
      </c>
      <c r="X3588" s="265"/>
    </row>
    <row r="3589" spans="1:24">
      <c r="A3589" s="285" t="s">
        <v>1518</v>
      </c>
      <c r="B3589" s="291"/>
      <c r="C3589" s="291"/>
      <c r="D3589" s="291"/>
      <c r="E3589" s="291"/>
      <c r="F3589" s="291"/>
      <c r="G3589" s="291"/>
      <c r="H3589" s="291"/>
      <c r="I3589" s="291"/>
      <c r="J3589" s="291"/>
      <c r="K3589" s="274">
        <f>$B$927</f>
        <v>0</v>
      </c>
      <c r="L3589" s="274">
        <f>$C$927</f>
        <v>0</v>
      </c>
      <c r="M3589" s="291"/>
      <c r="N3589" s="291"/>
      <c r="O3589" s="291"/>
      <c r="P3589" s="291"/>
      <c r="Q3589" s="291"/>
      <c r="R3589" s="291"/>
      <c r="S3589" s="291"/>
      <c r="T3589" s="291"/>
      <c r="U3589" s="291"/>
      <c r="V3589" s="274">
        <f>$B$2772</f>
        <v>0</v>
      </c>
      <c r="W3589" s="274">
        <f>$C$2772</f>
        <v>0</v>
      </c>
      <c r="X3589" s="265"/>
    </row>
    <row r="3590" spans="1:24">
      <c r="A3590" s="285" t="s">
        <v>66</v>
      </c>
      <c r="B3590" s="291"/>
      <c r="C3590" s="291"/>
      <c r="D3590" s="291"/>
      <c r="E3590" s="291"/>
      <c r="F3590" s="291"/>
      <c r="G3590" s="291"/>
      <c r="H3590" s="291"/>
      <c r="I3590" s="291"/>
      <c r="J3590" s="291"/>
      <c r="K3590" s="274">
        <f>$B$928</f>
        <v>0</v>
      </c>
      <c r="L3590" s="274">
        <f>$C$928</f>
        <v>0</v>
      </c>
      <c r="M3590" s="291"/>
      <c r="N3590" s="291"/>
      <c r="O3590" s="291"/>
      <c r="P3590" s="291"/>
      <c r="Q3590" s="291"/>
      <c r="R3590" s="291"/>
      <c r="S3590" s="291"/>
      <c r="T3590" s="291"/>
      <c r="U3590" s="291"/>
      <c r="V3590" s="274">
        <f>$B$2773</f>
        <v>0</v>
      </c>
      <c r="W3590" s="274">
        <f>$C$2773</f>
        <v>0</v>
      </c>
      <c r="X3590" s="265"/>
    </row>
    <row r="3591" spans="1:24">
      <c r="A3591" s="285" t="s">
        <v>1519</v>
      </c>
      <c r="B3591" s="291"/>
      <c r="C3591" s="291"/>
      <c r="D3591" s="291"/>
      <c r="E3591" s="291"/>
      <c r="F3591" s="291"/>
      <c r="G3591" s="291"/>
      <c r="H3591" s="291"/>
      <c r="I3591" s="291"/>
      <c r="J3591" s="291"/>
      <c r="K3591" s="274">
        <f>$B$929</f>
        <v>0</v>
      </c>
      <c r="L3591" s="274">
        <f>$C$929</f>
        <v>0</v>
      </c>
      <c r="M3591" s="291"/>
      <c r="N3591" s="291"/>
      <c r="O3591" s="291"/>
      <c r="P3591" s="291"/>
      <c r="Q3591" s="291"/>
      <c r="R3591" s="291"/>
      <c r="S3591" s="291"/>
      <c r="T3591" s="291"/>
      <c r="U3591" s="291"/>
      <c r="V3591" s="274">
        <f>$B$2774</f>
        <v>0</v>
      </c>
      <c r="W3591" s="274">
        <f>$C$2774</f>
        <v>0</v>
      </c>
      <c r="X3591" s="265"/>
    </row>
    <row r="3592" spans="1:24">
      <c r="A3592" s="285" t="s">
        <v>74</v>
      </c>
      <c r="B3592" s="291"/>
      <c r="C3592" s="291"/>
      <c r="D3592" s="291"/>
      <c r="E3592" s="291"/>
      <c r="F3592" s="291"/>
      <c r="G3592" s="291"/>
      <c r="H3592" s="291"/>
      <c r="I3592" s="291"/>
      <c r="J3592" s="291"/>
      <c r="K3592" s="274">
        <f>$B$930</f>
        <v>0</v>
      </c>
      <c r="L3592" s="274">
        <f>$C$930</f>
        <v>0</v>
      </c>
      <c r="M3592" s="291"/>
      <c r="N3592" s="291"/>
      <c r="O3592" s="291"/>
      <c r="P3592" s="291"/>
      <c r="Q3592" s="291"/>
      <c r="R3592" s="291"/>
      <c r="S3592" s="291"/>
      <c r="T3592" s="291"/>
      <c r="U3592" s="291"/>
      <c r="V3592" s="274">
        <f>$B$2775</f>
        <v>0</v>
      </c>
      <c r="W3592" s="274">
        <f>$C$2775</f>
        <v>48.903754666808268</v>
      </c>
      <c r="X3592" s="265"/>
    </row>
    <row r="3593" spans="1:24">
      <c r="A3593" s="285" t="s">
        <v>1520</v>
      </c>
      <c r="B3593" s="291"/>
      <c r="C3593" s="291"/>
      <c r="D3593" s="291"/>
      <c r="E3593" s="291"/>
      <c r="F3593" s="291"/>
      <c r="G3593" s="291"/>
      <c r="H3593" s="291"/>
      <c r="I3593" s="291"/>
      <c r="J3593" s="291"/>
      <c r="K3593" s="274">
        <f>$B$931</f>
        <v>0</v>
      </c>
      <c r="L3593" s="274">
        <f>$C$931</f>
        <v>0</v>
      </c>
      <c r="M3593" s="291"/>
      <c r="N3593" s="291"/>
      <c r="O3593" s="291"/>
      <c r="P3593" s="291"/>
      <c r="Q3593" s="291"/>
      <c r="R3593" s="291"/>
      <c r="S3593" s="291"/>
      <c r="T3593" s="291"/>
      <c r="U3593" s="291"/>
      <c r="V3593" s="274">
        <f>$B$2776</f>
        <v>0</v>
      </c>
      <c r="W3593" s="274">
        <f>$C$2776</f>
        <v>48.903754666808268</v>
      </c>
      <c r="X3593" s="265"/>
    </row>
    <row r="3594" spans="1:24">
      <c r="A3594" s="285" t="s">
        <v>75</v>
      </c>
      <c r="B3594" s="291"/>
      <c r="C3594" s="291"/>
      <c r="D3594" s="291"/>
      <c r="E3594" s="291"/>
      <c r="F3594" s="291"/>
      <c r="G3594" s="291"/>
      <c r="H3594" s="291"/>
      <c r="I3594" s="291"/>
      <c r="J3594" s="291"/>
      <c r="K3594" s="274">
        <f>$B$932</f>
        <v>0</v>
      </c>
      <c r="L3594" s="274">
        <f>$C$932</f>
        <v>0</v>
      </c>
      <c r="M3594" s="291"/>
      <c r="N3594" s="291"/>
      <c r="O3594" s="291"/>
      <c r="P3594" s="291"/>
      <c r="Q3594" s="291"/>
      <c r="R3594" s="291"/>
      <c r="S3594" s="291"/>
      <c r="T3594" s="291"/>
      <c r="U3594" s="291"/>
      <c r="V3594" s="274">
        <f>$B$2777</f>
        <v>0</v>
      </c>
      <c r="W3594" s="274">
        <f>$C$2777</f>
        <v>48.903754666808268</v>
      </c>
      <c r="X3594" s="265"/>
    </row>
    <row r="3595" spans="1:24">
      <c r="A3595" s="285" t="s">
        <v>1521</v>
      </c>
      <c r="B3595" s="291"/>
      <c r="C3595" s="291"/>
      <c r="D3595" s="291"/>
      <c r="E3595" s="291"/>
      <c r="F3595" s="291"/>
      <c r="G3595" s="291"/>
      <c r="H3595" s="291"/>
      <c r="I3595" s="291"/>
      <c r="J3595" s="291"/>
      <c r="K3595" s="274">
        <f>$B$933</f>
        <v>0</v>
      </c>
      <c r="L3595" s="274">
        <f>$C$933</f>
        <v>0</v>
      </c>
      <c r="M3595" s="291"/>
      <c r="N3595" s="291"/>
      <c r="O3595" s="291"/>
      <c r="P3595" s="291"/>
      <c r="Q3595" s="291"/>
      <c r="R3595" s="291"/>
      <c r="S3595" s="291"/>
      <c r="T3595" s="291"/>
      <c r="U3595" s="291"/>
      <c r="V3595" s="274">
        <f>$B$2778</f>
        <v>0</v>
      </c>
      <c r="W3595" s="274">
        <f>$C$2778</f>
        <v>48.903754666808268</v>
      </c>
      <c r="X3595" s="265"/>
    </row>
    <row r="3597" spans="1:24" ht="21" customHeight="1">
      <c r="A3597" s="1" t="s">
        <v>707</v>
      </c>
    </row>
    <row r="3598" spans="1:24">
      <c r="A3598" s="264" t="s">
        <v>217</v>
      </c>
    </row>
    <row r="3599" spans="1:24">
      <c r="A3599" s="269" t="s">
        <v>708</v>
      </c>
    </row>
    <row r="3600" spans="1:24">
      <c r="A3600" s="264" t="s">
        <v>584</v>
      </c>
    </row>
    <row r="3602" spans="1:24" ht="30">
      <c r="B3602" s="284" t="s">
        <v>22</v>
      </c>
      <c r="C3602" s="284" t="s">
        <v>182</v>
      </c>
      <c r="D3602" s="284" t="s">
        <v>183</v>
      </c>
      <c r="E3602" s="284" t="s">
        <v>184</v>
      </c>
      <c r="F3602" s="284" t="s">
        <v>185</v>
      </c>
      <c r="G3602" s="284" t="s">
        <v>186</v>
      </c>
      <c r="H3602" s="284" t="s">
        <v>187</v>
      </c>
      <c r="I3602" s="284" t="s">
        <v>188</v>
      </c>
      <c r="J3602" s="284" t="s">
        <v>189</v>
      </c>
      <c r="K3602" s="284" t="s">
        <v>326</v>
      </c>
      <c r="L3602" s="284" t="s">
        <v>333</v>
      </c>
      <c r="M3602" s="284" t="s">
        <v>170</v>
      </c>
      <c r="N3602" s="284" t="s">
        <v>567</v>
      </c>
      <c r="O3602" s="284" t="s">
        <v>568</v>
      </c>
      <c r="P3602" s="284" t="s">
        <v>569</v>
      </c>
      <c r="Q3602" s="284" t="s">
        <v>570</v>
      </c>
      <c r="R3602" s="284" t="s">
        <v>571</v>
      </c>
      <c r="S3602" s="284" t="s">
        <v>572</v>
      </c>
      <c r="T3602" s="284" t="s">
        <v>573</v>
      </c>
      <c r="U3602" s="284" t="s">
        <v>574</v>
      </c>
      <c r="V3602" s="284" t="s">
        <v>575</v>
      </c>
      <c r="W3602" s="284" t="s">
        <v>576</v>
      </c>
    </row>
    <row r="3603" spans="1:24">
      <c r="A3603" s="285" t="s">
        <v>54</v>
      </c>
      <c r="B3603" s="291"/>
      <c r="C3603" s="291"/>
      <c r="D3603" s="291"/>
      <c r="E3603" s="291"/>
      <c r="F3603" s="291"/>
      <c r="G3603" s="291"/>
      <c r="H3603" s="291"/>
      <c r="I3603" s="291"/>
      <c r="J3603" s="291"/>
      <c r="K3603" s="291"/>
      <c r="L3603" s="291"/>
      <c r="M3603" s="291"/>
      <c r="N3603" s="291"/>
      <c r="O3603" s="291"/>
      <c r="P3603" s="291"/>
      <c r="Q3603" s="291"/>
      <c r="R3603" s="291"/>
      <c r="S3603" s="291"/>
      <c r="T3603" s="291"/>
      <c r="U3603" s="291"/>
      <c r="V3603" s="291"/>
      <c r="W3603" s="291"/>
      <c r="X3603" s="265"/>
    </row>
    <row r="3604" spans="1:24">
      <c r="A3604" s="285" t="s">
        <v>55</v>
      </c>
      <c r="B3604" s="291"/>
      <c r="C3604" s="291"/>
      <c r="D3604" s="291"/>
      <c r="E3604" s="291"/>
      <c r="F3604" s="291"/>
      <c r="G3604" s="291"/>
      <c r="H3604" s="291"/>
      <c r="I3604" s="291"/>
      <c r="J3604" s="291"/>
      <c r="K3604" s="291"/>
      <c r="L3604" s="291"/>
      <c r="M3604" s="291"/>
      <c r="N3604" s="291"/>
      <c r="O3604" s="291"/>
      <c r="P3604" s="291"/>
      <c r="Q3604" s="291"/>
      <c r="R3604" s="291"/>
      <c r="S3604" s="291"/>
      <c r="T3604" s="291"/>
      <c r="U3604" s="291"/>
      <c r="V3604" s="291"/>
      <c r="W3604" s="291"/>
      <c r="X3604" s="265"/>
    </row>
    <row r="3605" spans="1:24">
      <c r="A3605" s="285" t="s">
        <v>91</v>
      </c>
      <c r="B3605" s="291"/>
      <c r="C3605" s="291"/>
      <c r="D3605" s="291"/>
      <c r="E3605" s="291"/>
      <c r="F3605" s="291"/>
      <c r="G3605" s="291"/>
      <c r="H3605" s="291"/>
      <c r="I3605" s="291"/>
      <c r="J3605" s="291"/>
      <c r="K3605" s="291"/>
      <c r="L3605" s="291"/>
      <c r="M3605" s="291"/>
      <c r="N3605" s="291"/>
      <c r="O3605" s="291"/>
      <c r="P3605" s="291"/>
      <c r="Q3605" s="291"/>
      <c r="R3605" s="291"/>
      <c r="S3605" s="291"/>
      <c r="T3605" s="291"/>
      <c r="U3605" s="291"/>
      <c r="V3605" s="291"/>
      <c r="W3605" s="291"/>
      <c r="X3605" s="265"/>
    </row>
    <row r="3606" spans="1:24">
      <c r="A3606" s="285" t="s">
        <v>56</v>
      </c>
      <c r="B3606" s="291"/>
      <c r="C3606" s="291"/>
      <c r="D3606" s="291"/>
      <c r="E3606" s="291"/>
      <c r="F3606" s="291"/>
      <c r="G3606" s="291"/>
      <c r="H3606" s="291"/>
      <c r="I3606" s="291"/>
      <c r="J3606" s="291"/>
      <c r="K3606" s="291"/>
      <c r="L3606" s="291"/>
      <c r="M3606" s="291"/>
      <c r="N3606" s="291"/>
      <c r="O3606" s="291"/>
      <c r="P3606" s="291"/>
      <c r="Q3606" s="291"/>
      <c r="R3606" s="291"/>
      <c r="S3606" s="291"/>
      <c r="T3606" s="291"/>
      <c r="U3606" s="291"/>
      <c r="V3606" s="291"/>
      <c r="W3606" s="291"/>
      <c r="X3606" s="265"/>
    </row>
    <row r="3607" spans="1:24">
      <c r="A3607" s="285" t="s">
        <v>57</v>
      </c>
      <c r="B3607" s="291"/>
      <c r="C3607" s="291"/>
      <c r="D3607" s="291"/>
      <c r="E3607" s="291"/>
      <c r="F3607" s="291"/>
      <c r="G3607" s="291"/>
      <c r="H3607" s="291"/>
      <c r="I3607" s="291"/>
      <c r="J3607" s="291"/>
      <c r="K3607" s="291"/>
      <c r="L3607" s="291"/>
      <c r="M3607" s="291"/>
      <c r="N3607" s="291"/>
      <c r="O3607" s="291"/>
      <c r="P3607" s="291"/>
      <c r="Q3607" s="291"/>
      <c r="R3607" s="291"/>
      <c r="S3607" s="291"/>
      <c r="T3607" s="291"/>
      <c r="U3607" s="291"/>
      <c r="V3607" s="291"/>
      <c r="W3607" s="291"/>
      <c r="X3607" s="265"/>
    </row>
    <row r="3608" spans="1:24">
      <c r="A3608" s="285" t="s">
        <v>92</v>
      </c>
      <c r="B3608" s="291"/>
      <c r="C3608" s="291"/>
      <c r="D3608" s="291"/>
      <c r="E3608" s="291"/>
      <c r="F3608" s="291"/>
      <c r="G3608" s="291"/>
      <c r="H3608" s="291"/>
      <c r="I3608" s="291"/>
      <c r="J3608" s="291"/>
      <c r="K3608" s="291"/>
      <c r="L3608" s="291"/>
      <c r="M3608" s="291"/>
      <c r="N3608" s="291"/>
      <c r="O3608" s="291"/>
      <c r="P3608" s="291"/>
      <c r="Q3608" s="291"/>
      <c r="R3608" s="291"/>
      <c r="S3608" s="291"/>
      <c r="T3608" s="291"/>
      <c r="U3608" s="291"/>
      <c r="V3608" s="291"/>
      <c r="W3608" s="291"/>
      <c r="X3608" s="265"/>
    </row>
    <row r="3609" spans="1:24">
      <c r="A3609" s="285" t="s">
        <v>58</v>
      </c>
      <c r="B3609" s="291"/>
      <c r="C3609" s="291"/>
      <c r="D3609" s="291"/>
      <c r="E3609" s="291"/>
      <c r="F3609" s="291"/>
      <c r="G3609" s="291"/>
      <c r="H3609" s="291"/>
      <c r="I3609" s="291"/>
      <c r="J3609" s="291"/>
      <c r="K3609" s="291"/>
      <c r="L3609" s="291"/>
      <c r="M3609" s="291"/>
      <c r="N3609" s="291"/>
      <c r="O3609" s="291"/>
      <c r="P3609" s="291"/>
      <c r="Q3609" s="291"/>
      <c r="R3609" s="291"/>
      <c r="S3609" s="291"/>
      <c r="T3609" s="291"/>
      <c r="U3609" s="291"/>
      <c r="V3609" s="291"/>
      <c r="W3609" s="291"/>
      <c r="X3609" s="265"/>
    </row>
    <row r="3610" spans="1:24">
      <c r="A3610" s="285" t="s">
        <v>59</v>
      </c>
      <c r="B3610" s="291"/>
      <c r="C3610" s="291"/>
      <c r="D3610" s="291"/>
      <c r="E3610" s="291"/>
      <c r="F3610" s="291"/>
      <c r="G3610" s="291"/>
      <c r="H3610" s="291"/>
      <c r="I3610" s="291"/>
      <c r="J3610" s="291"/>
      <c r="K3610" s="291"/>
      <c r="L3610" s="291"/>
      <c r="M3610" s="291"/>
      <c r="N3610" s="291"/>
      <c r="O3610" s="291"/>
      <c r="P3610" s="291"/>
      <c r="Q3610" s="291"/>
      <c r="R3610" s="291"/>
      <c r="S3610" s="291"/>
      <c r="T3610" s="291"/>
      <c r="U3610" s="291"/>
      <c r="V3610" s="291"/>
      <c r="W3610" s="291"/>
      <c r="X3610" s="265"/>
    </row>
    <row r="3611" spans="1:24">
      <c r="A3611" s="285" t="s">
        <v>72</v>
      </c>
      <c r="B3611" s="291"/>
      <c r="C3611" s="291"/>
      <c r="D3611" s="291"/>
      <c r="E3611" s="291"/>
      <c r="F3611" s="291"/>
      <c r="G3611" s="291"/>
      <c r="H3611" s="291"/>
      <c r="I3611" s="291"/>
      <c r="J3611" s="291"/>
      <c r="K3611" s="291"/>
      <c r="L3611" s="291"/>
      <c r="M3611" s="291"/>
      <c r="N3611" s="291"/>
      <c r="O3611" s="291"/>
      <c r="P3611" s="291"/>
      <c r="Q3611" s="291"/>
      <c r="R3611" s="291"/>
      <c r="S3611" s="291"/>
      <c r="T3611" s="291"/>
      <c r="U3611" s="291"/>
      <c r="V3611" s="291"/>
      <c r="W3611" s="291"/>
      <c r="X3611" s="265"/>
    </row>
    <row r="3612" spans="1:24">
      <c r="A3612" s="285" t="s">
        <v>1178</v>
      </c>
      <c r="B3612" s="291"/>
      <c r="C3612" s="291"/>
      <c r="D3612" s="291"/>
      <c r="E3612" s="291"/>
      <c r="F3612" s="291"/>
      <c r="G3612" s="291"/>
      <c r="H3612" s="291"/>
      <c r="I3612" s="291"/>
      <c r="J3612" s="291"/>
      <c r="K3612" s="291"/>
      <c r="L3612" s="291"/>
      <c r="M3612" s="291"/>
      <c r="N3612" s="291"/>
      <c r="O3612" s="291"/>
      <c r="P3612" s="291"/>
      <c r="Q3612" s="291"/>
      <c r="R3612" s="291"/>
      <c r="S3612" s="291"/>
      <c r="T3612" s="291"/>
      <c r="U3612" s="291"/>
      <c r="V3612" s="291"/>
      <c r="W3612" s="291"/>
      <c r="X3612" s="265"/>
    </row>
    <row r="3613" spans="1:24">
      <c r="A3613" s="285" t="s">
        <v>1177</v>
      </c>
      <c r="B3613" s="291"/>
      <c r="C3613" s="291"/>
      <c r="D3613" s="291"/>
      <c r="E3613" s="291"/>
      <c r="F3613" s="291"/>
      <c r="G3613" s="291"/>
      <c r="H3613" s="291"/>
      <c r="I3613" s="291"/>
      <c r="J3613" s="291"/>
      <c r="K3613" s="291"/>
      <c r="L3613" s="291"/>
      <c r="M3613" s="291"/>
      <c r="N3613" s="291"/>
      <c r="O3613" s="291"/>
      <c r="P3613" s="291"/>
      <c r="Q3613" s="291"/>
      <c r="R3613" s="291"/>
      <c r="S3613" s="291"/>
      <c r="T3613" s="291"/>
      <c r="U3613" s="291"/>
      <c r="V3613" s="291"/>
      <c r="W3613" s="291"/>
      <c r="X3613" s="265"/>
    </row>
    <row r="3614" spans="1:24">
      <c r="A3614" s="285" t="s">
        <v>60</v>
      </c>
      <c r="B3614" s="274">
        <f>$B$3110</f>
        <v>0</v>
      </c>
      <c r="C3614" s="274">
        <f>$C$3110</f>
        <v>0</v>
      </c>
      <c r="D3614" s="274">
        <f>$D$3110</f>
        <v>0</v>
      </c>
      <c r="E3614" s="274">
        <f>$E$3110</f>
        <v>0</v>
      </c>
      <c r="F3614" s="274">
        <f>$F$3110</f>
        <v>0</v>
      </c>
      <c r="G3614" s="274">
        <f>$G$3110</f>
        <v>0</v>
      </c>
      <c r="H3614" s="274">
        <f>$H$3110</f>
        <v>0.12313836217528705</v>
      </c>
      <c r="I3614" s="274">
        <f>$I$3110</f>
        <v>6.9045434221703728E-2</v>
      </c>
      <c r="J3614" s="274">
        <f>$J$3110</f>
        <v>0.13451393568644926</v>
      </c>
      <c r="K3614" s="291"/>
      <c r="L3614" s="291"/>
      <c r="M3614" s="274">
        <f>$K$3110</f>
        <v>0</v>
      </c>
      <c r="N3614" s="274">
        <f>$L$3110</f>
        <v>0</v>
      </c>
      <c r="O3614" s="274">
        <f>$M$3110</f>
        <v>0</v>
      </c>
      <c r="P3614" s="274">
        <f>$N$3110</f>
        <v>0</v>
      </c>
      <c r="Q3614" s="274">
        <f>$O$3110</f>
        <v>0</v>
      </c>
      <c r="R3614" s="274">
        <f>$P$3110</f>
        <v>0</v>
      </c>
      <c r="S3614" s="274">
        <f>$Q$3110</f>
        <v>0.42681160322097322</v>
      </c>
      <c r="T3614" s="274">
        <f>$R$3110</f>
        <v>0.90941352010639265</v>
      </c>
      <c r="U3614" s="274">
        <f>$S$3110</f>
        <v>1.7717144244930523</v>
      </c>
      <c r="V3614" s="291"/>
      <c r="W3614" s="291"/>
      <c r="X3614" s="265"/>
    </row>
    <row r="3615" spans="1:24">
      <c r="A3615" s="285" t="s">
        <v>61</v>
      </c>
      <c r="B3615" s="274">
        <f>$B$3111</f>
        <v>0</v>
      </c>
      <c r="C3615" s="274">
        <f>$C$3111</f>
        <v>0</v>
      </c>
      <c r="D3615" s="274">
        <f>$D$3111</f>
        <v>0</v>
      </c>
      <c r="E3615" s="274">
        <f>$E$3111</f>
        <v>0</v>
      </c>
      <c r="F3615" s="274">
        <f>$F$3111</f>
        <v>0</v>
      </c>
      <c r="G3615" s="274">
        <f>$G$3111</f>
        <v>0</v>
      </c>
      <c r="H3615" s="274">
        <f>$H$3111</f>
        <v>0.60815509379414368</v>
      </c>
      <c r="I3615" s="274">
        <f>$I$3111</f>
        <v>6.8200245290552908E-2</v>
      </c>
      <c r="J3615" s="274">
        <f>$J$3111</f>
        <v>0</v>
      </c>
      <c r="K3615" s="291"/>
      <c r="L3615" s="291"/>
      <c r="M3615" s="274">
        <f>$K$3111</f>
        <v>0</v>
      </c>
      <c r="N3615" s="274">
        <f>$L$3111</f>
        <v>0</v>
      </c>
      <c r="O3615" s="274">
        <f>$M$3111</f>
        <v>0</v>
      </c>
      <c r="P3615" s="274">
        <f>$N$3111</f>
        <v>0</v>
      </c>
      <c r="Q3615" s="274">
        <f>$O$3111</f>
        <v>0</v>
      </c>
      <c r="R3615" s="274">
        <f>$P$3111</f>
        <v>0</v>
      </c>
      <c r="S3615" s="274">
        <f>$Q$3111</f>
        <v>2.1079348953804189</v>
      </c>
      <c r="T3615" s="274">
        <f>$R$3111</f>
        <v>0.89828133954011824</v>
      </c>
      <c r="U3615" s="274">
        <f>$S$3111</f>
        <v>0</v>
      </c>
      <c r="V3615" s="291"/>
      <c r="W3615" s="291"/>
      <c r="X3615" s="265"/>
    </row>
    <row r="3616" spans="1:24">
      <c r="A3616" s="285" t="s">
        <v>73</v>
      </c>
      <c r="B3616" s="274">
        <f>$B$3112</f>
        <v>0</v>
      </c>
      <c r="C3616" s="274">
        <f>$C$3112</f>
        <v>0</v>
      </c>
      <c r="D3616" s="274">
        <f>$D$3112</f>
        <v>0</v>
      </c>
      <c r="E3616" s="274">
        <f>$E$3112</f>
        <v>8.0009110718554072E-2</v>
      </c>
      <c r="F3616" s="274">
        <f>$F$3112</f>
        <v>0</v>
      </c>
      <c r="G3616" s="274">
        <f>$G$3112</f>
        <v>0</v>
      </c>
      <c r="H3616" s="274">
        <f>$H$3112</f>
        <v>0</v>
      </c>
      <c r="I3616" s="274">
        <f>$I$3112</f>
        <v>0</v>
      </c>
      <c r="J3616" s="274">
        <f>$J$3112</f>
        <v>0</v>
      </c>
      <c r="K3616" s="291"/>
      <c r="L3616" s="291"/>
      <c r="M3616" s="274">
        <f>$K$3112</f>
        <v>0</v>
      </c>
      <c r="N3616" s="274">
        <f>$L$3112</f>
        <v>0</v>
      </c>
      <c r="O3616" s="274">
        <f>$M$3112</f>
        <v>0</v>
      </c>
      <c r="P3616" s="274">
        <f>$N$3112</f>
        <v>0.15966949404584221</v>
      </c>
      <c r="Q3616" s="274">
        <f>$O$3112</f>
        <v>0.80237609147766675</v>
      </c>
      <c r="R3616" s="274">
        <f>$P$3112</f>
        <v>0</v>
      </c>
      <c r="S3616" s="274">
        <f>$Q$3112</f>
        <v>2.0858307163058862</v>
      </c>
      <c r="T3616" s="274">
        <f>$R$3112</f>
        <v>0</v>
      </c>
      <c r="U3616" s="274">
        <f>$S$3112</f>
        <v>0</v>
      </c>
      <c r="V3616" s="291"/>
      <c r="W3616" s="291"/>
      <c r="X3616" s="265"/>
    </row>
    <row r="3617" spans="1:24">
      <c r="A3617" s="285" t="s">
        <v>93</v>
      </c>
      <c r="B3617" s="291"/>
      <c r="C3617" s="291"/>
      <c r="D3617" s="291"/>
      <c r="E3617" s="291"/>
      <c r="F3617" s="291"/>
      <c r="G3617" s="291"/>
      <c r="H3617" s="291"/>
      <c r="I3617" s="291"/>
      <c r="J3617" s="291"/>
      <c r="K3617" s="291"/>
      <c r="L3617" s="291"/>
      <c r="M3617" s="291"/>
      <c r="N3617" s="291"/>
      <c r="O3617" s="291"/>
      <c r="P3617" s="291"/>
      <c r="Q3617" s="291"/>
      <c r="R3617" s="291"/>
      <c r="S3617" s="291"/>
      <c r="T3617" s="291"/>
      <c r="U3617" s="291"/>
      <c r="V3617" s="291"/>
      <c r="W3617" s="291"/>
      <c r="X3617" s="265"/>
    </row>
    <row r="3618" spans="1:24">
      <c r="A3618" s="285" t="s">
        <v>94</v>
      </c>
      <c r="B3618" s="291"/>
      <c r="C3618" s="291"/>
      <c r="D3618" s="291"/>
      <c r="E3618" s="291"/>
      <c r="F3618" s="291"/>
      <c r="G3618" s="291"/>
      <c r="H3618" s="291"/>
      <c r="I3618" s="291"/>
      <c r="J3618" s="291"/>
      <c r="K3618" s="291"/>
      <c r="L3618" s="291"/>
      <c r="M3618" s="291"/>
      <c r="N3618" s="291"/>
      <c r="O3618" s="291"/>
      <c r="P3618" s="291"/>
      <c r="Q3618" s="291"/>
      <c r="R3618" s="291"/>
      <c r="S3618" s="291"/>
      <c r="T3618" s="291"/>
      <c r="U3618" s="291"/>
      <c r="V3618" s="291"/>
      <c r="W3618" s="291"/>
      <c r="X3618" s="265"/>
    </row>
    <row r="3619" spans="1:24">
      <c r="A3619" s="285" t="s">
        <v>95</v>
      </c>
      <c r="B3619" s="291"/>
      <c r="C3619" s="291"/>
      <c r="D3619" s="291"/>
      <c r="E3619" s="291"/>
      <c r="F3619" s="291"/>
      <c r="G3619" s="291"/>
      <c r="H3619" s="291"/>
      <c r="I3619" s="291"/>
      <c r="J3619" s="291"/>
      <c r="K3619" s="291"/>
      <c r="L3619" s="291"/>
      <c r="M3619" s="291"/>
      <c r="N3619" s="291"/>
      <c r="O3619" s="291"/>
      <c r="P3619" s="291"/>
      <c r="Q3619" s="291"/>
      <c r="R3619" s="291"/>
      <c r="S3619" s="291"/>
      <c r="T3619" s="291"/>
      <c r="U3619" s="291"/>
      <c r="V3619" s="291"/>
      <c r="W3619" s="291"/>
      <c r="X3619" s="265"/>
    </row>
    <row r="3620" spans="1:24">
      <c r="A3620" s="285" t="s">
        <v>96</v>
      </c>
      <c r="B3620" s="291"/>
      <c r="C3620" s="291"/>
      <c r="D3620" s="291"/>
      <c r="E3620" s="291"/>
      <c r="F3620" s="291"/>
      <c r="G3620" s="291"/>
      <c r="H3620" s="291"/>
      <c r="I3620" s="291"/>
      <c r="J3620" s="291"/>
      <c r="K3620" s="291"/>
      <c r="L3620" s="291"/>
      <c r="M3620" s="291"/>
      <c r="N3620" s="291"/>
      <c r="O3620" s="291"/>
      <c r="P3620" s="291"/>
      <c r="Q3620" s="291"/>
      <c r="R3620" s="291"/>
      <c r="S3620" s="291"/>
      <c r="T3620" s="291"/>
      <c r="U3620" s="291"/>
      <c r="V3620" s="291"/>
      <c r="W3620" s="291"/>
      <c r="X3620" s="265"/>
    </row>
    <row r="3621" spans="1:24">
      <c r="A3621" s="285" t="s">
        <v>97</v>
      </c>
      <c r="B3621" s="291"/>
      <c r="C3621" s="291"/>
      <c r="D3621" s="291"/>
      <c r="E3621" s="291"/>
      <c r="F3621" s="291"/>
      <c r="G3621" s="291"/>
      <c r="H3621" s="291"/>
      <c r="I3621" s="291"/>
      <c r="J3621" s="291"/>
      <c r="K3621" s="291"/>
      <c r="L3621" s="291"/>
      <c r="M3621" s="291"/>
      <c r="N3621" s="291"/>
      <c r="O3621" s="291"/>
      <c r="P3621" s="291"/>
      <c r="Q3621" s="291"/>
      <c r="R3621" s="291"/>
      <c r="S3621" s="291"/>
      <c r="T3621" s="291"/>
      <c r="U3621" s="291"/>
      <c r="V3621" s="291"/>
      <c r="W3621" s="291"/>
      <c r="X3621" s="265"/>
    </row>
    <row r="3622" spans="1:24">
      <c r="A3622" s="285" t="s">
        <v>1176</v>
      </c>
      <c r="B3622" s="291"/>
      <c r="C3622" s="291"/>
      <c r="D3622" s="291"/>
      <c r="E3622" s="291"/>
      <c r="F3622" s="291"/>
      <c r="G3622" s="291"/>
      <c r="H3622" s="291"/>
      <c r="I3622" s="291"/>
      <c r="J3622" s="291"/>
      <c r="K3622" s="291"/>
      <c r="L3622" s="291"/>
      <c r="M3622" s="291"/>
      <c r="N3622" s="291"/>
      <c r="O3622" s="291"/>
      <c r="P3622" s="291"/>
      <c r="Q3622" s="291"/>
      <c r="R3622" s="291"/>
      <c r="S3622" s="291"/>
      <c r="T3622" s="291"/>
      <c r="U3622" s="291"/>
      <c r="V3622" s="291"/>
      <c r="W3622" s="291"/>
      <c r="X3622" s="265"/>
    </row>
    <row r="3623" spans="1:24">
      <c r="A3623" s="285" t="s">
        <v>62</v>
      </c>
      <c r="B3623" s="291"/>
      <c r="C3623" s="291"/>
      <c r="D3623" s="291"/>
      <c r="E3623" s="291"/>
      <c r="F3623" s="291"/>
      <c r="G3623" s="291"/>
      <c r="H3623" s="291"/>
      <c r="I3623" s="291"/>
      <c r="J3623" s="291"/>
      <c r="K3623" s="291"/>
      <c r="L3623" s="291"/>
      <c r="M3623" s="291"/>
      <c r="N3623" s="291"/>
      <c r="O3623" s="291"/>
      <c r="P3623" s="291"/>
      <c r="Q3623" s="291"/>
      <c r="R3623" s="291"/>
      <c r="S3623" s="291"/>
      <c r="T3623" s="291"/>
      <c r="U3623" s="291"/>
      <c r="V3623" s="291"/>
      <c r="W3623" s="291"/>
      <c r="X3623" s="265"/>
    </row>
    <row r="3624" spans="1:24">
      <c r="A3624" s="285" t="s">
        <v>63</v>
      </c>
      <c r="B3624" s="291"/>
      <c r="C3624" s="291"/>
      <c r="D3624" s="291"/>
      <c r="E3624" s="291"/>
      <c r="F3624" s="291"/>
      <c r="G3624" s="291"/>
      <c r="H3624" s="291"/>
      <c r="I3624" s="291"/>
      <c r="J3624" s="291"/>
      <c r="K3624" s="291"/>
      <c r="L3624" s="291"/>
      <c r="M3624" s="291"/>
      <c r="N3624" s="291"/>
      <c r="O3624" s="291"/>
      <c r="P3624" s="291"/>
      <c r="Q3624" s="291"/>
      <c r="R3624" s="291"/>
      <c r="S3624" s="291"/>
      <c r="T3624" s="291"/>
      <c r="U3624" s="291"/>
      <c r="V3624" s="291"/>
      <c r="W3624" s="291"/>
      <c r="X3624" s="265"/>
    </row>
    <row r="3625" spans="1:24">
      <c r="A3625" s="285" t="s">
        <v>1516</v>
      </c>
      <c r="B3625" s="291"/>
      <c r="C3625" s="291"/>
      <c r="D3625" s="291"/>
      <c r="E3625" s="291"/>
      <c r="F3625" s="291"/>
      <c r="G3625" s="291"/>
      <c r="H3625" s="291"/>
      <c r="I3625" s="291"/>
      <c r="J3625" s="291"/>
      <c r="K3625" s="291"/>
      <c r="L3625" s="291"/>
      <c r="M3625" s="291"/>
      <c r="N3625" s="291"/>
      <c r="O3625" s="291"/>
      <c r="P3625" s="291"/>
      <c r="Q3625" s="291"/>
      <c r="R3625" s="291"/>
      <c r="S3625" s="291"/>
      <c r="T3625" s="291"/>
      <c r="U3625" s="291"/>
      <c r="V3625" s="291"/>
      <c r="W3625" s="291"/>
      <c r="X3625" s="265"/>
    </row>
    <row r="3626" spans="1:24">
      <c r="A3626" s="285" t="s">
        <v>64</v>
      </c>
      <c r="B3626" s="291"/>
      <c r="C3626" s="291"/>
      <c r="D3626" s="291"/>
      <c r="E3626" s="291"/>
      <c r="F3626" s="291"/>
      <c r="G3626" s="291"/>
      <c r="H3626" s="291"/>
      <c r="I3626" s="291"/>
      <c r="J3626" s="291"/>
      <c r="K3626" s="291"/>
      <c r="L3626" s="291"/>
      <c r="M3626" s="291"/>
      <c r="N3626" s="291"/>
      <c r="O3626" s="291"/>
      <c r="P3626" s="291"/>
      <c r="Q3626" s="291"/>
      <c r="R3626" s="291"/>
      <c r="S3626" s="291"/>
      <c r="T3626" s="291"/>
      <c r="U3626" s="291"/>
      <c r="V3626" s="291"/>
      <c r="W3626" s="291"/>
      <c r="X3626" s="265"/>
    </row>
    <row r="3627" spans="1:24">
      <c r="A3627" s="285" t="s">
        <v>1517</v>
      </c>
      <c r="B3627" s="291"/>
      <c r="C3627" s="291"/>
      <c r="D3627" s="291"/>
      <c r="E3627" s="291"/>
      <c r="F3627" s="291"/>
      <c r="G3627" s="291"/>
      <c r="H3627" s="291"/>
      <c r="I3627" s="291"/>
      <c r="J3627" s="291"/>
      <c r="K3627" s="291"/>
      <c r="L3627" s="291"/>
      <c r="M3627" s="291"/>
      <c r="N3627" s="291"/>
      <c r="O3627" s="291"/>
      <c r="P3627" s="291"/>
      <c r="Q3627" s="291"/>
      <c r="R3627" s="291"/>
      <c r="S3627" s="291"/>
      <c r="T3627" s="291"/>
      <c r="U3627" s="291"/>
      <c r="V3627" s="291"/>
      <c r="W3627" s="291"/>
      <c r="X3627" s="265"/>
    </row>
    <row r="3628" spans="1:24">
      <c r="A3628" s="285" t="s">
        <v>65</v>
      </c>
      <c r="B3628" s="291"/>
      <c r="C3628" s="291"/>
      <c r="D3628" s="291"/>
      <c r="E3628" s="291"/>
      <c r="F3628" s="291"/>
      <c r="G3628" s="291"/>
      <c r="H3628" s="291"/>
      <c r="I3628" s="291"/>
      <c r="J3628" s="291"/>
      <c r="K3628" s="291"/>
      <c r="L3628" s="291"/>
      <c r="M3628" s="291"/>
      <c r="N3628" s="291"/>
      <c r="O3628" s="291"/>
      <c r="P3628" s="291"/>
      <c r="Q3628" s="291"/>
      <c r="R3628" s="291"/>
      <c r="S3628" s="291"/>
      <c r="T3628" s="291"/>
      <c r="U3628" s="291"/>
      <c r="V3628" s="291"/>
      <c r="W3628" s="291"/>
      <c r="X3628" s="265"/>
    </row>
    <row r="3629" spans="1:24">
      <c r="A3629" s="285" t="s">
        <v>1518</v>
      </c>
      <c r="B3629" s="291"/>
      <c r="C3629" s="291"/>
      <c r="D3629" s="291"/>
      <c r="E3629" s="291"/>
      <c r="F3629" s="291"/>
      <c r="G3629" s="291"/>
      <c r="H3629" s="291"/>
      <c r="I3629" s="291"/>
      <c r="J3629" s="291"/>
      <c r="K3629" s="291"/>
      <c r="L3629" s="291"/>
      <c r="M3629" s="291"/>
      <c r="N3629" s="291"/>
      <c r="O3629" s="291"/>
      <c r="P3629" s="291"/>
      <c r="Q3629" s="291"/>
      <c r="R3629" s="291"/>
      <c r="S3629" s="291"/>
      <c r="T3629" s="291"/>
      <c r="U3629" s="291"/>
      <c r="V3629" s="291"/>
      <c r="W3629" s="291"/>
      <c r="X3629" s="265"/>
    </row>
    <row r="3630" spans="1:24">
      <c r="A3630" s="285" t="s">
        <v>66</v>
      </c>
      <c r="B3630" s="291"/>
      <c r="C3630" s="291"/>
      <c r="D3630" s="291"/>
      <c r="E3630" s="291"/>
      <c r="F3630" s="291"/>
      <c r="G3630" s="291"/>
      <c r="H3630" s="291"/>
      <c r="I3630" s="291"/>
      <c r="J3630" s="291"/>
      <c r="K3630" s="291"/>
      <c r="L3630" s="291"/>
      <c r="M3630" s="291"/>
      <c r="N3630" s="291"/>
      <c r="O3630" s="291"/>
      <c r="P3630" s="291"/>
      <c r="Q3630" s="291"/>
      <c r="R3630" s="291"/>
      <c r="S3630" s="291"/>
      <c r="T3630" s="291"/>
      <c r="U3630" s="291"/>
      <c r="V3630" s="291"/>
      <c r="W3630" s="291"/>
      <c r="X3630" s="265"/>
    </row>
    <row r="3631" spans="1:24">
      <c r="A3631" s="285" t="s">
        <v>1519</v>
      </c>
      <c r="B3631" s="291"/>
      <c r="C3631" s="291"/>
      <c r="D3631" s="291"/>
      <c r="E3631" s="291"/>
      <c r="F3631" s="291"/>
      <c r="G3631" s="291"/>
      <c r="H3631" s="291"/>
      <c r="I3631" s="291"/>
      <c r="J3631" s="291"/>
      <c r="K3631" s="291"/>
      <c r="L3631" s="291"/>
      <c r="M3631" s="291"/>
      <c r="N3631" s="291"/>
      <c r="O3631" s="291"/>
      <c r="P3631" s="291"/>
      <c r="Q3631" s="291"/>
      <c r="R3631" s="291"/>
      <c r="S3631" s="291"/>
      <c r="T3631" s="291"/>
      <c r="U3631" s="291"/>
      <c r="V3631" s="291"/>
      <c r="W3631" s="291"/>
      <c r="X3631" s="265"/>
    </row>
    <row r="3632" spans="1:24">
      <c r="A3632" s="285" t="s">
        <v>74</v>
      </c>
      <c r="B3632" s="291"/>
      <c r="C3632" s="291"/>
      <c r="D3632" s="291"/>
      <c r="E3632" s="291"/>
      <c r="F3632" s="291"/>
      <c r="G3632" s="291"/>
      <c r="H3632" s="291"/>
      <c r="I3632" s="291"/>
      <c r="J3632" s="291"/>
      <c r="K3632" s="291"/>
      <c r="L3632" s="291"/>
      <c r="M3632" s="291"/>
      <c r="N3632" s="291"/>
      <c r="O3632" s="291"/>
      <c r="P3632" s="291"/>
      <c r="Q3632" s="291"/>
      <c r="R3632" s="291"/>
      <c r="S3632" s="291"/>
      <c r="T3632" s="291"/>
      <c r="U3632" s="291"/>
      <c r="V3632" s="291"/>
      <c r="W3632" s="291"/>
      <c r="X3632" s="265"/>
    </row>
    <row r="3633" spans="1:24">
      <c r="A3633" s="285" t="s">
        <v>1520</v>
      </c>
      <c r="B3633" s="291"/>
      <c r="C3633" s="291"/>
      <c r="D3633" s="291"/>
      <c r="E3633" s="291"/>
      <c r="F3633" s="291"/>
      <c r="G3633" s="291"/>
      <c r="H3633" s="291"/>
      <c r="I3633" s="291"/>
      <c r="J3633" s="291"/>
      <c r="K3633" s="291"/>
      <c r="L3633" s="291"/>
      <c r="M3633" s="291"/>
      <c r="N3633" s="291"/>
      <c r="O3633" s="291"/>
      <c r="P3633" s="291"/>
      <c r="Q3633" s="291"/>
      <c r="R3633" s="291"/>
      <c r="S3633" s="291"/>
      <c r="T3633" s="291"/>
      <c r="U3633" s="291"/>
      <c r="V3633" s="291"/>
      <c r="W3633" s="291"/>
      <c r="X3633" s="265"/>
    </row>
    <row r="3634" spans="1:24">
      <c r="A3634" s="285" t="s">
        <v>75</v>
      </c>
      <c r="B3634" s="291"/>
      <c r="C3634" s="291"/>
      <c r="D3634" s="291"/>
      <c r="E3634" s="291"/>
      <c r="F3634" s="291"/>
      <c r="G3634" s="291"/>
      <c r="H3634" s="291"/>
      <c r="I3634" s="291"/>
      <c r="J3634" s="291"/>
      <c r="K3634" s="291"/>
      <c r="L3634" s="291"/>
      <c r="M3634" s="291"/>
      <c r="N3634" s="291"/>
      <c r="O3634" s="291"/>
      <c r="P3634" s="291"/>
      <c r="Q3634" s="291"/>
      <c r="R3634" s="291"/>
      <c r="S3634" s="291"/>
      <c r="T3634" s="291"/>
      <c r="U3634" s="291"/>
      <c r="V3634" s="291"/>
      <c r="W3634" s="291"/>
      <c r="X3634" s="265"/>
    </row>
    <row r="3635" spans="1:24">
      <c r="A3635" s="285" t="s">
        <v>1521</v>
      </c>
      <c r="B3635" s="291"/>
      <c r="C3635" s="291"/>
      <c r="D3635" s="291"/>
      <c r="E3635" s="291"/>
      <c r="F3635" s="291"/>
      <c r="G3635" s="291"/>
      <c r="H3635" s="291"/>
      <c r="I3635" s="291"/>
      <c r="J3635" s="291"/>
      <c r="K3635" s="291"/>
      <c r="L3635" s="291"/>
      <c r="M3635" s="291"/>
      <c r="N3635" s="291"/>
      <c r="O3635" s="291"/>
      <c r="P3635" s="291"/>
      <c r="Q3635" s="291"/>
      <c r="R3635" s="291"/>
      <c r="S3635" s="291"/>
      <c r="T3635" s="291"/>
      <c r="U3635" s="291"/>
      <c r="V3635" s="291"/>
      <c r="W3635" s="291"/>
      <c r="X3635" s="265"/>
    </row>
    <row r="3637" spans="1:24" ht="21" customHeight="1">
      <c r="A3637" s="1" t="s">
        <v>1582</v>
      </c>
    </row>
    <row r="3638" spans="1:24">
      <c r="A3638" s="264" t="s">
        <v>217</v>
      </c>
    </row>
    <row r="3639" spans="1:24">
      <c r="A3639" s="269" t="s">
        <v>1583</v>
      </c>
    </row>
    <row r="3640" spans="1:24">
      <c r="A3640" s="264" t="s">
        <v>584</v>
      </c>
    </row>
    <row r="3642" spans="1:24" ht="30">
      <c r="B3642" s="284" t="s">
        <v>22</v>
      </c>
      <c r="C3642" s="284" t="s">
        <v>182</v>
      </c>
      <c r="D3642" s="284" t="s">
        <v>183</v>
      </c>
      <c r="E3642" s="284" t="s">
        <v>184</v>
      </c>
      <c r="F3642" s="284" t="s">
        <v>185</v>
      </c>
      <c r="G3642" s="284" t="s">
        <v>186</v>
      </c>
      <c r="H3642" s="284" t="s">
        <v>187</v>
      </c>
      <c r="I3642" s="284" t="s">
        <v>188</v>
      </c>
      <c r="J3642" s="284" t="s">
        <v>189</v>
      </c>
      <c r="K3642" s="284" t="s">
        <v>326</v>
      </c>
      <c r="L3642" s="284" t="s">
        <v>333</v>
      </c>
      <c r="M3642" s="284" t="s">
        <v>170</v>
      </c>
      <c r="N3642" s="284" t="s">
        <v>567</v>
      </c>
      <c r="O3642" s="284" t="s">
        <v>568</v>
      </c>
      <c r="P3642" s="284" t="s">
        <v>569</v>
      </c>
      <c r="Q3642" s="284" t="s">
        <v>570</v>
      </c>
      <c r="R3642" s="284" t="s">
        <v>571</v>
      </c>
      <c r="S3642" s="284" t="s">
        <v>572</v>
      </c>
      <c r="T3642" s="284" t="s">
        <v>573</v>
      </c>
      <c r="U3642" s="284" t="s">
        <v>574</v>
      </c>
      <c r="V3642" s="284" t="s">
        <v>575</v>
      </c>
      <c r="W3642" s="284" t="s">
        <v>576</v>
      </c>
    </row>
    <row r="3643" spans="1:24">
      <c r="A3643" s="285" t="s">
        <v>54</v>
      </c>
      <c r="B3643" s="291"/>
      <c r="C3643" s="291"/>
      <c r="D3643" s="291"/>
      <c r="E3643" s="291"/>
      <c r="F3643" s="291"/>
      <c r="G3643" s="291"/>
      <c r="H3643" s="291"/>
      <c r="I3643" s="291"/>
      <c r="J3643" s="291"/>
      <c r="K3643" s="291"/>
      <c r="L3643" s="291"/>
      <c r="M3643" s="291"/>
      <c r="N3643" s="291"/>
      <c r="O3643" s="291"/>
      <c r="P3643" s="291"/>
      <c r="Q3643" s="291"/>
      <c r="R3643" s="291"/>
      <c r="S3643" s="291"/>
      <c r="T3643" s="291"/>
      <c r="U3643" s="291"/>
      <c r="V3643" s="291"/>
      <c r="W3643" s="291"/>
      <c r="X3643" s="265"/>
    </row>
    <row r="3644" spans="1:24">
      <c r="A3644" s="285" t="s">
        <v>55</v>
      </c>
      <c r="B3644" s="291"/>
      <c r="C3644" s="291"/>
      <c r="D3644" s="291"/>
      <c r="E3644" s="291"/>
      <c r="F3644" s="291"/>
      <c r="G3644" s="291"/>
      <c r="H3644" s="291"/>
      <c r="I3644" s="291"/>
      <c r="J3644" s="291"/>
      <c r="K3644" s="291"/>
      <c r="L3644" s="291"/>
      <c r="M3644" s="291"/>
      <c r="N3644" s="291"/>
      <c r="O3644" s="291"/>
      <c r="P3644" s="291"/>
      <c r="Q3644" s="291"/>
      <c r="R3644" s="291"/>
      <c r="S3644" s="291"/>
      <c r="T3644" s="291"/>
      <c r="U3644" s="291"/>
      <c r="V3644" s="291"/>
      <c r="W3644" s="291"/>
      <c r="X3644" s="265"/>
    </row>
    <row r="3645" spans="1:24">
      <c r="A3645" s="285" t="s">
        <v>91</v>
      </c>
      <c r="B3645" s="291"/>
      <c r="C3645" s="291"/>
      <c r="D3645" s="291"/>
      <c r="E3645" s="291"/>
      <c r="F3645" s="291"/>
      <c r="G3645" s="291"/>
      <c r="H3645" s="291"/>
      <c r="I3645" s="291"/>
      <c r="J3645" s="291"/>
      <c r="K3645" s="291"/>
      <c r="L3645" s="291"/>
      <c r="M3645" s="291"/>
      <c r="N3645" s="291"/>
      <c r="O3645" s="291"/>
      <c r="P3645" s="291"/>
      <c r="Q3645" s="291"/>
      <c r="R3645" s="291"/>
      <c r="S3645" s="291"/>
      <c r="T3645" s="291"/>
      <c r="U3645" s="291"/>
      <c r="V3645" s="291"/>
      <c r="W3645" s="291"/>
      <c r="X3645" s="265"/>
    </row>
    <row r="3646" spans="1:24">
      <c r="A3646" s="285" t="s">
        <v>56</v>
      </c>
      <c r="B3646" s="291"/>
      <c r="C3646" s="291"/>
      <c r="D3646" s="291"/>
      <c r="E3646" s="291"/>
      <c r="F3646" s="291"/>
      <c r="G3646" s="291"/>
      <c r="H3646" s="291"/>
      <c r="I3646" s="291"/>
      <c r="J3646" s="291"/>
      <c r="K3646" s="291"/>
      <c r="L3646" s="291"/>
      <c r="M3646" s="291"/>
      <c r="N3646" s="291"/>
      <c r="O3646" s="291"/>
      <c r="P3646" s="291"/>
      <c r="Q3646" s="291"/>
      <c r="R3646" s="291"/>
      <c r="S3646" s="291"/>
      <c r="T3646" s="291"/>
      <c r="U3646" s="291"/>
      <c r="V3646" s="291"/>
      <c r="W3646" s="291"/>
      <c r="X3646" s="265"/>
    </row>
    <row r="3647" spans="1:24">
      <c r="A3647" s="285" t="s">
        <v>57</v>
      </c>
      <c r="B3647" s="291"/>
      <c r="C3647" s="291"/>
      <c r="D3647" s="291"/>
      <c r="E3647" s="291"/>
      <c r="F3647" s="291"/>
      <c r="G3647" s="291"/>
      <c r="H3647" s="291"/>
      <c r="I3647" s="291"/>
      <c r="J3647" s="291"/>
      <c r="K3647" s="291"/>
      <c r="L3647" s="291"/>
      <c r="M3647" s="291"/>
      <c r="N3647" s="291"/>
      <c r="O3647" s="291"/>
      <c r="P3647" s="291"/>
      <c r="Q3647" s="291"/>
      <c r="R3647" s="291"/>
      <c r="S3647" s="291"/>
      <c r="T3647" s="291"/>
      <c r="U3647" s="291"/>
      <c r="V3647" s="291"/>
      <c r="W3647" s="291"/>
      <c r="X3647" s="265"/>
    </row>
    <row r="3648" spans="1:24">
      <c r="A3648" s="285" t="s">
        <v>92</v>
      </c>
      <c r="B3648" s="291"/>
      <c r="C3648" s="291"/>
      <c r="D3648" s="291"/>
      <c r="E3648" s="291"/>
      <c r="F3648" s="291"/>
      <c r="G3648" s="291"/>
      <c r="H3648" s="291"/>
      <c r="I3648" s="291"/>
      <c r="J3648" s="291"/>
      <c r="K3648" s="291"/>
      <c r="L3648" s="291"/>
      <c r="M3648" s="291"/>
      <c r="N3648" s="291"/>
      <c r="O3648" s="291"/>
      <c r="P3648" s="291"/>
      <c r="Q3648" s="291"/>
      <c r="R3648" s="291"/>
      <c r="S3648" s="291"/>
      <c r="T3648" s="291"/>
      <c r="U3648" s="291"/>
      <c r="V3648" s="291"/>
      <c r="W3648" s="291"/>
      <c r="X3648" s="265"/>
    </row>
    <row r="3649" spans="1:24">
      <c r="A3649" s="285" t="s">
        <v>58</v>
      </c>
      <c r="B3649" s="291"/>
      <c r="C3649" s="291"/>
      <c r="D3649" s="291"/>
      <c r="E3649" s="291"/>
      <c r="F3649" s="291"/>
      <c r="G3649" s="291"/>
      <c r="H3649" s="291"/>
      <c r="I3649" s="291"/>
      <c r="J3649" s="291"/>
      <c r="K3649" s="291"/>
      <c r="L3649" s="291"/>
      <c r="M3649" s="291"/>
      <c r="N3649" s="291"/>
      <c r="O3649" s="291"/>
      <c r="P3649" s="291"/>
      <c r="Q3649" s="291"/>
      <c r="R3649" s="291"/>
      <c r="S3649" s="291"/>
      <c r="T3649" s="291"/>
      <c r="U3649" s="291"/>
      <c r="V3649" s="291"/>
      <c r="W3649" s="291"/>
      <c r="X3649" s="265"/>
    </row>
    <row r="3650" spans="1:24">
      <c r="A3650" s="285" t="s">
        <v>59</v>
      </c>
      <c r="B3650" s="291"/>
      <c r="C3650" s="291"/>
      <c r="D3650" s="291"/>
      <c r="E3650" s="291"/>
      <c r="F3650" s="291"/>
      <c r="G3650" s="291"/>
      <c r="H3650" s="291"/>
      <c r="I3650" s="291"/>
      <c r="J3650" s="291"/>
      <c r="K3650" s="291"/>
      <c r="L3650" s="291"/>
      <c r="M3650" s="291"/>
      <c r="N3650" s="291"/>
      <c r="O3650" s="291"/>
      <c r="P3650" s="291"/>
      <c r="Q3650" s="291"/>
      <c r="R3650" s="291"/>
      <c r="S3650" s="291"/>
      <c r="T3650" s="291"/>
      <c r="U3650" s="291"/>
      <c r="V3650" s="291"/>
      <c r="W3650" s="291"/>
      <c r="X3650" s="265"/>
    </row>
    <row r="3651" spans="1:24">
      <c r="A3651" s="285" t="s">
        <v>72</v>
      </c>
      <c r="B3651" s="291"/>
      <c r="C3651" s="291"/>
      <c r="D3651" s="291"/>
      <c r="E3651" s="291"/>
      <c r="F3651" s="291"/>
      <c r="G3651" s="291"/>
      <c r="H3651" s="291"/>
      <c r="I3651" s="291"/>
      <c r="J3651" s="291"/>
      <c r="K3651" s="291"/>
      <c r="L3651" s="291"/>
      <c r="M3651" s="291"/>
      <c r="N3651" s="291"/>
      <c r="O3651" s="291"/>
      <c r="P3651" s="291"/>
      <c r="Q3651" s="291"/>
      <c r="R3651" s="291"/>
      <c r="S3651" s="291"/>
      <c r="T3651" s="291"/>
      <c r="U3651" s="291"/>
      <c r="V3651" s="291"/>
      <c r="W3651" s="291"/>
      <c r="X3651" s="265"/>
    </row>
    <row r="3652" spans="1:24">
      <c r="A3652" s="285" t="s">
        <v>1178</v>
      </c>
      <c r="B3652" s="291"/>
      <c r="C3652" s="291"/>
      <c r="D3652" s="291"/>
      <c r="E3652" s="291"/>
      <c r="F3652" s="291"/>
      <c r="G3652" s="291"/>
      <c r="H3652" s="291"/>
      <c r="I3652" s="291"/>
      <c r="J3652" s="291"/>
      <c r="K3652" s="291"/>
      <c r="L3652" s="291"/>
      <c r="M3652" s="291"/>
      <c r="N3652" s="291"/>
      <c r="O3652" s="291"/>
      <c r="P3652" s="291"/>
      <c r="Q3652" s="291"/>
      <c r="R3652" s="291"/>
      <c r="S3652" s="291"/>
      <c r="T3652" s="291"/>
      <c r="U3652" s="291"/>
      <c r="V3652" s="291"/>
      <c r="W3652" s="291"/>
      <c r="X3652" s="265"/>
    </row>
    <row r="3653" spans="1:24">
      <c r="A3653" s="285" t="s">
        <v>1177</v>
      </c>
      <c r="B3653" s="291"/>
      <c r="C3653" s="291"/>
      <c r="D3653" s="291"/>
      <c r="E3653" s="291"/>
      <c r="F3653" s="291"/>
      <c r="G3653" s="291"/>
      <c r="H3653" s="291"/>
      <c r="I3653" s="291"/>
      <c r="J3653" s="291"/>
      <c r="K3653" s="291"/>
      <c r="L3653" s="291"/>
      <c r="M3653" s="291"/>
      <c r="N3653" s="291"/>
      <c r="O3653" s="291"/>
      <c r="P3653" s="291"/>
      <c r="Q3653" s="291"/>
      <c r="R3653" s="291"/>
      <c r="S3653" s="291"/>
      <c r="T3653" s="291"/>
      <c r="U3653" s="291"/>
      <c r="V3653" s="291"/>
      <c r="W3653" s="291"/>
      <c r="X3653" s="265"/>
    </row>
    <row r="3654" spans="1:24">
      <c r="A3654" s="285" t="s">
        <v>60</v>
      </c>
      <c r="B3654" s="274">
        <f>$B$3227</f>
        <v>0</v>
      </c>
      <c r="C3654" s="274">
        <f>$C$3227</f>
        <v>0</v>
      </c>
      <c r="D3654" s="274">
        <f>$D$3227</f>
        <v>0</v>
      </c>
      <c r="E3654" s="274">
        <f>$E$3227</f>
        <v>0</v>
      </c>
      <c r="F3654" s="274">
        <f>$F$3227</f>
        <v>0</v>
      </c>
      <c r="G3654" s="274">
        <f>$G$3227</f>
        <v>0</v>
      </c>
      <c r="H3654" s="274">
        <f>$H$3227</f>
        <v>0.64809664302782677</v>
      </c>
      <c r="I3654" s="274">
        <f>$I$3227</f>
        <v>1.3809086844340734</v>
      </c>
      <c r="J3654" s="274">
        <f>$J$3227</f>
        <v>2.6902787137289828</v>
      </c>
      <c r="K3654" s="291"/>
      <c r="L3654" s="291"/>
      <c r="M3654" s="274">
        <f>$K$3227</f>
        <v>0</v>
      </c>
      <c r="N3654" s="274">
        <f>$L$3227</f>
        <v>0</v>
      </c>
      <c r="O3654" s="274">
        <f>$M$3227</f>
        <v>0</v>
      </c>
      <c r="P3654" s="274">
        <f>$N$3227</f>
        <v>0</v>
      </c>
      <c r="Q3654" s="274">
        <f>$O$3227</f>
        <v>0</v>
      </c>
      <c r="R3654" s="274">
        <f>$P$3227</f>
        <v>0</v>
      </c>
      <c r="S3654" s="274">
        <f>$Q$3227</f>
        <v>0.42681160322097322</v>
      </c>
      <c r="T3654" s="274">
        <f>$R$3227</f>
        <v>0.90941352010639265</v>
      </c>
      <c r="U3654" s="274">
        <f>$S$3227</f>
        <v>1.7717144244930523</v>
      </c>
      <c r="V3654" s="291"/>
      <c r="W3654" s="291"/>
      <c r="X3654" s="265"/>
    </row>
    <row r="3655" spans="1:24">
      <c r="A3655" s="285" t="s">
        <v>61</v>
      </c>
      <c r="B3655" s="274">
        <f>$B$3228</f>
        <v>0</v>
      </c>
      <c r="C3655" s="274">
        <f>$C$3228</f>
        <v>0</v>
      </c>
      <c r="D3655" s="274">
        <f>$D$3228</f>
        <v>0</v>
      </c>
      <c r="E3655" s="274">
        <f>$E$3228</f>
        <v>0</v>
      </c>
      <c r="F3655" s="274">
        <f>$F$3228</f>
        <v>0</v>
      </c>
      <c r="G3655" s="274">
        <f>$G$3228</f>
        <v>0</v>
      </c>
      <c r="H3655" s="274">
        <f>$H$3228</f>
        <v>3.200816283127073</v>
      </c>
      <c r="I3655" s="274">
        <f>$I$3228</f>
        <v>1.364004905811057</v>
      </c>
      <c r="J3655" s="274">
        <f>$J$3228</f>
        <v>0</v>
      </c>
      <c r="K3655" s="291"/>
      <c r="L3655" s="291"/>
      <c r="M3655" s="274">
        <f>$K$3228</f>
        <v>0</v>
      </c>
      <c r="N3655" s="274">
        <f>$L$3228</f>
        <v>0</v>
      </c>
      <c r="O3655" s="274">
        <f>$M$3228</f>
        <v>0</v>
      </c>
      <c r="P3655" s="274">
        <f>$N$3228</f>
        <v>0</v>
      </c>
      <c r="Q3655" s="274">
        <f>$O$3228</f>
        <v>0</v>
      </c>
      <c r="R3655" s="274">
        <f>$P$3228</f>
        <v>0</v>
      </c>
      <c r="S3655" s="274">
        <f>$Q$3228</f>
        <v>2.1079348953804189</v>
      </c>
      <c r="T3655" s="274">
        <f>$R$3228</f>
        <v>0.89828133954011824</v>
      </c>
      <c r="U3655" s="274">
        <f>$S$3228</f>
        <v>0</v>
      </c>
      <c r="V3655" s="291"/>
      <c r="W3655" s="291"/>
      <c r="X3655" s="265"/>
    </row>
    <row r="3656" spans="1:24">
      <c r="A3656" s="285" t="s">
        <v>73</v>
      </c>
      <c r="B3656" s="274">
        <f>$B$3229</f>
        <v>0</v>
      </c>
      <c r="C3656" s="274">
        <f>$C$3229</f>
        <v>0</v>
      </c>
      <c r="D3656" s="274">
        <f>$D$3229</f>
        <v>0</v>
      </c>
      <c r="E3656" s="274">
        <f>$E$3229</f>
        <v>0.24245185066228511</v>
      </c>
      <c r="F3656" s="274">
        <f>$F$3229</f>
        <v>1.2183765563262712</v>
      </c>
      <c r="G3656" s="274">
        <f>$G$3229</f>
        <v>0</v>
      </c>
      <c r="H3656" s="274">
        <f>$H$3229</f>
        <v>3.1672519560399444</v>
      </c>
      <c r="I3656" s="274">
        <f>$I$3229</f>
        <v>0</v>
      </c>
      <c r="J3656" s="274">
        <f>$J$3229</f>
        <v>0</v>
      </c>
      <c r="K3656" s="291"/>
      <c r="L3656" s="291"/>
      <c r="M3656" s="274">
        <f>$K$3229</f>
        <v>0</v>
      </c>
      <c r="N3656" s="274">
        <f>$L$3229</f>
        <v>0</v>
      </c>
      <c r="O3656" s="274">
        <f>$M$3229</f>
        <v>0</v>
      </c>
      <c r="P3656" s="274">
        <f>$N$3229</f>
        <v>0.15966949404584221</v>
      </c>
      <c r="Q3656" s="274">
        <f>$O$3229</f>
        <v>0.80237609147766675</v>
      </c>
      <c r="R3656" s="274">
        <f>$P$3229</f>
        <v>0</v>
      </c>
      <c r="S3656" s="274">
        <f>$Q$3229</f>
        <v>2.0858307163058862</v>
      </c>
      <c r="T3656" s="274">
        <f>$R$3229</f>
        <v>0</v>
      </c>
      <c r="U3656" s="274">
        <f>$S$3229</f>
        <v>0</v>
      </c>
      <c r="V3656" s="291"/>
      <c r="W3656" s="291"/>
      <c r="X3656" s="265"/>
    </row>
    <row r="3657" spans="1:24">
      <c r="A3657" s="285" t="s">
        <v>93</v>
      </c>
      <c r="B3657" s="291"/>
      <c r="C3657" s="291"/>
      <c r="D3657" s="291"/>
      <c r="E3657" s="291"/>
      <c r="F3657" s="291"/>
      <c r="G3657" s="291"/>
      <c r="H3657" s="291"/>
      <c r="I3657" s="291"/>
      <c r="J3657" s="291"/>
      <c r="K3657" s="291"/>
      <c r="L3657" s="291"/>
      <c r="M3657" s="291"/>
      <c r="N3657" s="291"/>
      <c r="O3657" s="291"/>
      <c r="P3657" s="291"/>
      <c r="Q3657" s="291"/>
      <c r="R3657" s="291"/>
      <c r="S3657" s="291"/>
      <c r="T3657" s="291"/>
      <c r="U3657" s="291"/>
      <c r="V3657" s="291"/>
      <c r="W3657" s="291"/>
      <c r="X3657" s="265"/>
    </row>
    <row r="3658" spans="1:24">
      <c r="A3658" s="285" t="s">
        <v>94</v>
      </c>
      <c r="B3658" s="291"/>
      <c r="C3658" s="291"/>
      <c r="D3658" s="291"/>
      <c r="E3658" s="291"/>
      <c r="F3658" s="291"/>
      <c r="G3658" s="291"/>
      <c r="H3658" s="291"/>
      <c r="I3658" s="291"/>
      <c r="J3658" s="291"/>
      <c r="K3658" s="291"/>
      <c r="L3658" s="291"/>
      <c r="M3658" s="291"/>
      <c r="N3658" s="291"/>
      <c r="O3658" s="291"/>
      <c r="P3658" s="291"/>
      <c r="Q3658" s="291"/>
      <c r="R3658" s="291"/>
      <c r="S3658" s="291"/>
      <c r="T3658" s="291"/>
      <c r="U3658" s="291"/>
      <c r="V3658" s="291"/>
      <c r="W3658" s="291"/>
      <c r="X3658" s="265"/>
    </row>
    <row r="3659" spans="1:24">
      <c r="A3659" s="285" t="s">
        <v>95</v>
      </c>
      <c r="B3659" s="291"/>
      <c r="C3659" s="291"/>
      <c r="D3659" s="291"/>
      <c r="E3659" s="291"/>
      <c r="F3659" s="291"/>
      <c r="G3659" s="291"/>
      <c r="H3659" s="291"/>
      <c r="I3659" s="291"/>
      <c r="J3659" s="291"/>
      <c r="K3659" s="291"/>
      <c r="L3659" s="291"/>
      <c r="M3659" s="291"/>
      <c r="N3659" s="291"/>
      <c r="O3659" s="291"/>
      <c r="P3659" s="291"/>
      <c r="Q3659" s="291"/>
      <c r="R3659" s="291"/>
      <c r="S3659" s="291"/>
      <c r="T3659" s="291"/>
      <c r="U3659" s="291"/>
      <c r="V3659" s="291"/>
      <c r="W3659" s="291"/>
      <c r="X3659" s="265"/>
    </row>
    <row r="3660" spans="1:24">
      <c r="A3660" s="285" t="s">
        <v>96</v>
      </c>
      <c r="B3660" s="291"/>
      <c r="C3660" s="291"/>
      <c r="D3660" s="291"/>
      <c r="E3660" s="291"/>
      <c r="F3660" s="291"/>
      <c r="G3660" s="291"/>
      <c r="H3660" s="291"/>
      <c r="I3660" s="291"/>
      <c r="J3660" s="291"/>
      <c r="K3660" s="291"/>
      <c r="L3660" s="291"/>
      <c r="M3660" s="291"/>
      <c r="N3660" s="291"/>
      <c r="O3660" s="291"/>
      <c r="P3660" s="291"/>
      <c r="Q3660" s="291"/>
      <c r="R3660" s="291"/>
      <c r="S3660" s="291"/>
      <c r="T3660" s="291"/>
      <c r="U3660" s="291"/>
      <c r="V3660" s="291"/>
      <c r="W3660" s="291"/>
      <c r="X3660" s="265"/>
    </row>
    <row r="3661" spans="1:24">
      <c r="A3661" s="285" t="s">
        <v>97</v>
      </c>
      <c r="B3661" s="291"/>
      <c r="C3661" s="291"/>
      <c r="D3661" s="291"/>
      <c r="E3661" s="291"/>
      <c r="F3661" s="291"/>
      <c r="G3661" s="291"/>
      <c r="H3661" s="291"/>
      <c r="I3661" s="291"/>
      <c r="J3661" s="291"/>
      <c r="K3661" s="291"/>
      <c r="L3661" s="291"/>
      <c r="M3661" s="291"/>
      <c r="N3661" s="291"/>
      <c r="O3661" s="291"/>
      <c r="P3661" s="291"/>
      <c r="Q3661" s="291"/>
      <c r="R3661" s="291"/>
      <c r="S3661" s="291"/>
      <c r="T3661" s="291"/>
      <c r="U3661" s="291"/>
      <c r="V3661" s="291"/>
      <c r="W3661" s="291"/>
      <c r="X3661" s="265"/>
    </row>
    <row r="3662" spans="1:24">
      <c r="A3662" s="285" t="s">
        <v>1176</v>
      </c>
      <c r="B3662" s="291"/>
      <c r="C3662" s="291"/>
      <c r="D3662" s="291"/>
      <c r="E3662" s="291"/>
      <c r="F3662" s="291"/>
      <c r="G3662" s="291"/>
      <c r="H3662" s="291"/>
      <c r="I3662" s="291"/>
      <c r="J3662" s="291"/>
      <c r="K3662" s="291"/>
      <c r="L3662" s="291"/>
      <c r="M3662" s="291"/>
      <c r="N3662" s="291"/>
      <c r="O3662" s="291"/>
      <c r="P3662" s="291"/>
      <c r="Q3662" s="291"/>
      <c r="R3662" s="291"/>
      <c r="S3662" s="291"/>
      <c r="T3662" s="291"/>
      <c r="U3662" s="291"/>
      <c r="V3662" s="291"/>
      <c r="W3662" s="291"/>
      <c r="X3662" s="265"/>
    </row>
    <row r="3663" spans="1:24">
      <c r="A3663" s="285" t="s">
        <v>62</v>
      </c>
      <c r="B3663" s="291"/>
      <c r="C3663" s="291"/>
      <c r="D3663" s="291"/>
      <c r="E3663" s="291"/>
      <c r="F3663" s="291"/>
      <c r="G3663" s="291"/>
      <c r="H3663" s="291"/>
      <c r="I3663" s="291"/>
      <c r="J3663" s="291"/>
      <c r="K3663" s="291"/>
      <c r="L3663" s="291"/>
      <c r="M3663" s="291"/>
      <c r="N3663" s="291"/>
      <c r="O3663" s="291"/>
      <c r="P3663" s="291"/>
      <c r="Q3663" s="291"/>
      <c r="R3663" s="291"/>
      <c r="S3663" s="291"/>
      <c r="T3663" s="291"/>
      <c r="U3663" s="291"/>
      <c r="V3663" s="291"/>
      <c r="W3663" s="291"/>
      <c r="X3663" s="265"/>
    </row>
    <row r="3664" spans="1:24">
      <c r="A3664" s="285" t="s">
        <v>63</v>
      </c>
      <c r="B3664" s="291"/>
      <c r="C3664" s="291"/>
      <c r="D3664" s="291"/>
      <c r="E3664" s="291"/>
      <c r="F3664" s="291"/>
      <c r="G3664" s="291"/>
      <c r="H3664" s="291"/>
      <c r="I3664" s="291"/>
      <c r="J3664" s="291"/>
      <c r="K3664" s="291"/>
      <c r="L3664" s="291"/>
      <c r="M3664" s="291"/>
      <c r="N3664" s="291"/>
      <c r="O3664" s="291"/>
      <c r="P3664" s="291"/>
      <c r="Q3664" s="291"/>
      <c r="R3664" s="291"/>
      <c r="S3664" s="291"/>
      <c r="T3664" s="291"/>
      <c r="U3664" s="291"/>
      <c r="V3664" s="291"/>
      <c r="W3664" s="291"/>
      <c r="X3664" s="265"/>
    </row>
    <row r="3665" spans="1:24">
      <c r="A3665" s="285" t="s">
        <v>1516</v>
      </c>
      <c r="B3665" s="291"/>
      <c r="C3665" s="291"/>
      <c r="D3665" s="291"/>
      <c r="E3665" s="291"/>
      <c r="F3665" s="291"/>
      <c r="G3665" s="291"/>
      <c r="H3665" s="291"/>
      <c r="I3665" s="291"/>
      <c r="J3665" s="291"/>
      <c r="K3665" s="291"/>
      <c r="L3665" s="291"/>
      <c r="M3665" s="291"/>
      <c r="N3665" s="291"/>
      <c r="O3665" s="291"/>
      <c r="P3665" s="291"/>
      <c r="Q3665" s="291"/>
      <c r="R3665" s="291"/>
      <c r="S3665" s="291"/>
      <c r="T3665" s="291"/>
      <c r="U3665" s="291"/>
      <c r="V3665" s="291"/>
      <c r="W3665" s="291"/>
      <c r="X3665" s="265"/>
    </row>
    <row r="3666" spans="1:24">
      <c r="A3666" s="285" t="s">
        <v>64</v>
      </c>
      <c r="B3666" s="291"/>
      <c r="C3666" s="291"/>
      <c r="D3666" s="291"/>
      <c r="E3666" s="291"/>
      <c r="F3666" s="291"/>
      <c r="G3666" s="291"/>
      <c r="H3666" s="291"/>
      <c r="I3666" s="291"/>
      <c r="J3666" s="291"/>
      <c r="K3666" s="291"/>
      <c r="L3666" s="291"/>
      <c r="M3666" s="291"/>
      <c r="N3666" s="291"/>
      <c r="O3666" s="291"/>
      <c r="P3666" s="291"/>
      <c r="Q3666" s="291"/>
      <c r="R3666" s="291"/>
      <c r="S3666" s="291"/>
      <c r="T3666" s="291"/>
      <c r="U3666" s="291"/>
      <c r="V3666" s="291"/>
      <c r="W3666" s="291"/>
      <c r="X3666" s="265"/>
    </row>
    <row r="3667" spans="1:24">
      <c r="A3667" s="285" t="s">
        <v>1517</v>
      </c>
      <c r="B3667" s="291"/>
      <c r="C3667" s="291"/>
      <c r="D3667" s="291"/>
      <c r="E3667" s="291"/>
      <c r="F3667" s="291"/>
      <c r="G3667" s="291"/>
      <c r="H3667" s="291"/>
      <c r="I3667" s="291"/>
      <c r="J3667" s="291"/>
      <c r="K3667" s="291"/>
      <c r="L3667" s="291"/>
      <c r="M3667" s="291"/>
      <c r="N3667" s="291"/>
      <c r="O3667" s="291"/>
      <c r="P3667" s="291"/>
      <c r="Q3667" s="291"/>
      <c r="R3667" s="291"/>
      <c r="S3667" s="291"/>
      <c r="T3667" s="291"/>
      <c r="U3667" s="291"/>
      <c r="V3667" s="291"/>
      <c r="W3667" s="291"/>
      <c r="X3667" s="265"/>
    </row>
    <row r="3668" spans="1:24">
      <c r="A3668" s="285" t="s">
        <v>65</v>
      </c>
      <c r="B3668" s="291"/>
      <c r="C3668" s="291"/>
      <c r="D3668" s="291"/>
      <c r="E3668" s="291"/>
      <c r="F3668" s="291"/>
      <c r="G3668" s="291"/>
      <c r="H3668" s="291"/>
      <c r="I3668" s="291"/>
      <c r="J3668" s="291"/>
      <c r="K3668" s="291"/>
      <c r="L3668" s="291"/>
      <c r="M3668" s="291"/>
      <c r="N3668" s="291"/>
      <c r="O3668" s="291"/>
      <c r="P3668" s="291"/>
      <c r="Q3668" s="291"/>
      <c r="R3668" s="291"/>
      <c r="S3668" s="291"/>
      <c r="T3668" s="291"/>
      <c r="U3668" s="291"/>
      <c r="V3668" s="291"/>
      <c r="W3668" s="291"/>
      <c r="X3668" s="265"/>
    </row>
    <row r="3669" spans="1:24">
      <c r="A3669" s="285" t="s">
        <v>1518</v>
      </c>
      <c r="B3669" s="291"/>
      <c r="C3669" s="291"/>
      <c r="D3669" s="291"/>
      <c r="E3669" s="291"/>
      <c r="F3669" s="291"/>
      <c r="G3669" s="291"/>
      <c r="H3669" s="291"/>
      <c r="I3669" s="291"/>
      <c r="J3669" s="291"/>
      <c r="K3669" s="291"/>
      <c r="L3669" s="291"/>
      <c r="M3669" s="291"/>
      <c r="N3669" s="291"/>
      <c r="O3669" s="291"/>
      <c r="P3669" s="291"/>
      <c r="Q3669" s="291"/>
      <c r="R3669" s="291"/>
      <c r="S3669" s="291"/>
      <c r="T3669" s="291"/>
      <c r="U3669" s="291"/>
      <c r="V3669" s="291"/>
      <c r="W3669" s="291"/>
      <c r="X3669" s="265"/>
    </row>
    <row r="3670" spans="1:24">
      <c r="A3670" s="285" t="s">
        <v>66</v>
      </c>
      <c r="B3670" s="291"/>
      <c r="C3670" s="291"/>
      <c r="D3670" s="291"/>
      <c r="E3670" s="291"/>
      <c r="F3670" s="291"/>
      <c r="G3670" s="291"/>
      <c r="H3670" s="291"/>
      <c r="I3670" s="291"/>
      <c r="J3670" s="291"/>
      <c r="K3670" s="291"/>
      <c r="L3670" s="291"/>
      <c r="M3670" s="291"/>
      <c r="N3670" s="291"/>
      <c r="O3670" s="291"/>
      <c r="P3670" s="291"/>
      <c r="Q3670" s="291"/>
      <c r="R3670" s="291"/>
      <c r="S3670" s="291"/>
      <c r="T3670" s="291"/>
      <c r="U3670" s="291"/>
      <c r="V3670" s="291"/>
      <c r="W3670" s="291"/>
      <c r="X3670" s="265"/>
    </row>
    <row r="3671" spans="1:24">
      <c r="A3671" s="285" t="s">
        <v>1519</v>
      </c>
      <c r="B3671" s="291"/>
      <c r="C3671" s="291"/>
      <c r="D3671" s="291"/>
      <c r="E3671" s="291"/>
      <c r="F3671" s="291"/>
      <c r="G3671" s="291"/>
      <c r="H3671" s="291"/>
      <c r="I3671" s="291"/>
      <c r="J3671" s="291"/>
      <c r="K3671" s="291"/>
      <c r="L3671" s="291"/>
      <c r="M3671" s="291"/>
      <c r="N3671" s="291"/>
      <c r="O3671" s="291"/>
      <c r="P3671" s="291"/>
      <c r="Q3671" s="291"/>
      <c r="R3671" s="291"/>
      <c r="S3671" s="291"/>
      <c r="T3671" s="291"/>
      <c r="U3671" s="291"/>
      <c r="V3671" s="291"/>
      <c r="W3671" s="291"/>
      <c r="X3671" s="265"/>
    </row>
    <row r="3672" spans="1:24">
      <c r="A3672" s="285" t="s">
        <v>74</v>
      </c>
      <c r="B3672" s="291"/>
      <c r="C3672" s="291"/>
      <c r="D3672" s="291"/>
      <c r="E3672" s="291"/>
      <c r="F3672" s="291"/>
      <c r="G3672" s="291"/>
      <c r="H3672" s="291"/>
      <c r="I3672" s="291"/>
      <c r="J3672" s="291"/>
      <c r="K3672" s="291"/>
      <c r="L3672" s="291"/>
      <c r="M3672" s="291"/>
      <c r="N3672" s="291"/>
      <c r="O3672" s="291"/>
      <c r="P3672" s="291"/>
      <c r="Q3672" s="291"/>
      <c r="R3672" s="291"/>
      <c r="S3672" s="291"/>
      <c r="T3672" s="291"/>
      <c r="U3672" s="291"/>
      <c r="V3672" s="291"/>
      <c r="W3672" s="291"/>
      <c r="X3672" s="265"/>
    </row>
    <row r="3673" spans="1:24">
      <c r="A3673" s="285" t="s">
        <v>1520</v>
      </c>
      <c r="B3673" s="291"/>
      <c r="C3673" s="291"/>
      <c r="D3673" s="291"/>
      <c r="E3673" s="291"/>
      <c r="F3673" s="291"/>
      <c r="G3673" s="291"/>
      <c r="H3673" s="291"/>
      <c r="I3673" s="291"/>
      <c r="J3673" s="291"/>
      <c r="K3673" s="291"/>
      <c r="L3673" s="291"/>
      <c r="M3673" s="291"/>
      <c r="N3673" s="291"/>
      <c r="O3673" s="291"/>
      <c r="P3673" s="291"/>
      <c r="Q3673" s="291"/>
      <c r="R3673" s="291"/>
      <c r="S3673" s="291"/>
      <c r="T3673" s="291"/>
      <c r="U3673" s="291"/>
      <c r="V3673" s="291"/>
      <c r="W3673" s="291"/>
      <c r="X3673" s="265"/>
    </row>
    <row r="3674" spans="1:24">
      <c r="A3674" s="285" t="s">
        <v>75</v>
      </c>
      <c r="B3674" s="291"/>
      <c r="C3674" s="291"/>
      <c r="D3674" s="291"/>
      <c r="E3674" s="291"/>
      <c r="F3674" s="291"/>
      <c r="G3674" s="291"/>
      <c r="H3674" s="291"/>
      <c r="I3674" s="291"/>
      <c r="J3674" s="291"/>
      <c r="K3674" s="291"/>
      <c r="L3674" s="291"/>
      <c r="M3674" s="291"/>
      <c r="N3674" s="291"/>
      <c r="O3674" s="291"/>
      <c r="P3674" s="291"/>
      <c r="Q3674" s="291"/>
      <c r="R3674" s="291"/>
      <c r="S3674" s="291"/>
      <c r="T3674" s="291"/>
      <c r="U3674" s="291"/>
      <c r="V3674" s="291"/>
      <c r="W3674" s="291"/>
      <c r="X3674" s="265"/>
    </row>
    <row r="3675" spans="1:24">
      <c r="A3675" s="285" t="s">
        <v>1521</v>
      </c>
      <c r="B3675" s="291"/>
      <c r="C3675" s="291"/>
      <c r="D3675" s="291"/>
      <c r="E3675" s="291"/>
      <c r="F3675" s="291"/>
      <c r="G3675" s="291"/>
      <c r="H3675" s="291"/>
      <c r="I3675" s="291"/>
      <c r="J3675" s="291"/>
      <c r="K3675" s="291"/>
      <c r="L3675" s="291"/>
      <c r="M3675" s="291"/>
      <c r="N3675" s="291"/>
      <c r="O3675" s="291"/>
      <c r="P3675" s="291"/>
      <c r="Q3675" s="291"/>
      <c r="R3675" s="291"/>
      <c r="S3675" s="291"/>
      <c r="T3675" s="291"/>
      <c r="U3675" s="291"/>
      <c r="V3675" s="291"/>
      <c r="W3675" s="291"/>
      <c r="X3675" s="265"/>
    </row>
    <row r="3677" spans="1:24" ht="21" customHeight="1">
      <c r="A3677" s="1" t="s">
        <v>1584</v>
      </c>
    </row>
    <row r="3678" spans="1:24">
      <c r="A3678" s="264" t="s">
        <v>217</v>
      </c>
    </row>
    <row r="3679" spans="1:24">
      <c r="A3679" s="269" t="s">
        <v>709</v>
      </c>
    </row>
    <row r="3680" spans="1:24">
      <c r="A3680" s="269" t="s">
        <v>1383</v>
      </c>
    </row>
    <row r="3681" spans="1:24">
      <c r="A3681" s="264" t="s">
        <v>235</v>
      </c>
    </row>
    <row r="3683" spans="1:24" ht="30">
      <c r="B3683" s="284" t="s">
        <v>22</v>
      </c>
      <c r="C3683" s="284" t="s">
        <v>182</v>
      </c>
      <c r="D3683" s="284" t="s">
        <v>183</v>
      </c>
      <c r="E3683" s="284" t="s">
        <v>184</v>
      </c>
      <c r="F3683" s="284" t="s">
        <v>185</v>
      </c>
      <c r="G3683" s="284" t="s">
        <v>186</v>
      </c>
      <c r="H3683" s="284" t="s">
        <v>187</v>
      </c>
      <c r="I3683" s="284" t="s">
        <v>188</v>
      </c>
      <c r="J3683" s="284" t="s">
        <v>189</v>
      </c>
      <c r="K3683" s="284" t="s">
        <v>326</v>
      </c>
      <c r="L3683" s="284" t="s">
        <v>333</v>
      </c>
      <c r="M3683" s="284" t="s">
        <v>170</v>
      </c>
      <c r="N3683" s="284" t="s">
        <v>567</v>
      </c>
      <c r="O3683" s="284" t="s">
        <v>568</v>
      </c>
      <c r="P3683" s="284" t="s">
        <v>569</v>
      </c>
      <c r="Q3683" s="284" t="s">
        <v>570</v>
      </c>
      <c r="R3683" s="284" t="s">
        <v>571</v>
      </c>
      <c r="S3683" s="284" t="s">
        <v>572</v>
      </c>
      <c r="T3683" s="284" t="s">
        <v>573</v>
      </c>
      <c r="U3683" s="284" t="s">
        <v>574</v>
      </c>
      <c r="V3683" s="284" t="s">
        <v>575</v>
      </c>
      <c r="W3683" s="284" t="s">
        <v>576</v>
      </c>
    </row>
    <row r="3684" spans="1:24">
      <c r="A3684" s="285" t="s">
        <v>54</v>
      </c>
      <c r="B3684" s="291"/>
      <c r="C3684" s="291"/>
      <c r="D3684" s="291"/>
      <c r="E3684" s="291"/>
      <c r="F3684" s="291"/>
      <c r="G3684" s="291"/>
      <c r="H3684" s="291"/>
      <c r="I3684" s="291"/>
      <c r="J3684" s="291"/>
      <c r="K3684" s="291"/>
      <c r="L3684" s="291"/>
      <c r="M3684" s="291"/>
      <c r="N3684" s="291"/>
      <c r="O3684" s="291"/>
      <c r="P3684" s="291"/>
      <c r="Q3684" s="291"/>
      <c r="R3684" s="291"/>
      <c r="S3684" s="291"/>
      <c r="T3684" s="291"/>
      <c r="U3684" s="291"/>
      <c r="V3684" s="291"/>
      <c r="W3684" s="291"/>
      <c r="X3684" s="265"/>
    </row>
    <row r="3685" spans="1:24">
      <c r="A3685" s="285" t="s">
        <v>55</v>
      </c>
      <c r="B3685" s="291"/>
      <c r="C3685" s="291"/>
      <c r="D3685" s="291"/>
      <c r="E3685" s="291"/>
      <c r="F3685" s="291"/>
      <c r="G3685" s="291"/>
      <c r="H3685" s="291"/>
      <c r="I3685" s="291"/>
      <c r="J3685" s="291"/>
      <c r="K3685" s="291"/>
      <c r="L3685" s="291"/>
      <c r="M3685" s="291"/>
      <c r="N3685" s="291"/>
      <c r="O3685" s="291"/>
      <c r="P3685" s="291"/>
      <c r="Q3685" s="291"/>
      <c r="R3685" s="291"/>
      <c r="S3685" s="291"/>
      <c r="T3685" s="291"/>
      <c r="U3685" s="291"/>
      <c r="V3685" s="291"/>
      <c r="W3685" s="291"/>
      <c r="X3685" s="265"/>
    </row>
    <row r="3686" spans="1:24">
      <c r="A3686" s="285" t="s">
        <v>91</v>
      </c>
      <c r="B3686" s="291"/>
      <c r="C3686" s="291"/>
      <c r="D3686" s="291"/>
      <c r="E3686" s="291"/>
      <c r="F3686" s="291"/>
      <c r="G3686" s="291"/>
      <c r="H3686" s="291"/>
      <c r="I3686" s="291"/>
      <c r="J3686" s="291"/>
      <c r="K3686" s="291"/>
      <c r="L3686" s="291"/>
      <c r="M3686" s="291"/>
      <c r="N3686" s="291"/>
      <c r="O3686" s="291"/>
      <c r="P3686" s="291"/>
      <c r="Q3686" s="291"/>
      <c r="R3686" s="291"/>
      <c r="S3686" s="291"/>
      <c r="T3686" s="291"/>
      <c r="U3686" s="291"/>
      <c r="V3686" s="291"/>
      <c r="W3686" s="291"/>
      <c r="X3686" s="265"/>
    </row>
    <row r="3687" spans="1:24">
      <c r="A3687" s="285" t="s">
        <v>56</v>
      </c>
      <c r="B3687" s="291"/>
      <c r="C3687" s="291"/>
      <c r="D3687" s="291"/>
      <c r="E3687" s="291"/>
      <c r="F3687" s="291"/>
      <c r="G3687" s="291"/>
      <c r="H3687" s="291"/>
      <c r="I3687" s="291"/>
      <c r="J3687" s="291"/>
      <c r="K3687" s="291"/>
      <c r="L3687" s="291"/>
      <c r="M3687" s="291"/>
      <c r="N3687" s="291"/>
      <c r="O3687" s="291"/>
      <c r="P3687" s="291"/>
      <c r="Q3687" s="291"/>
      <c r="R3687" s="291"/>
      <c r="S3687" s="291"/>
      <c r="T3687" s="291"/>
      <c r="U3687" s="291"/>
      <c r="V3687" s="291"/>
      <c r="W3687" s="291"/>
      <c r="X3687" s="265"/>
    </row>
    <row r="3688" spans="1:24">
      <c r="A3688" s="285" t="s">
        <v>57</v>
      </c>
      <c r="B3688" s="291"/>
      <c r="C3688" s="291"/>
      <c r="D3688" s="291"/>
      <c r="E3688" s="291"/>
      <c r="F3688" s="291"/>
      <c r="G3688" s="291"/>
      <c r="H3688" s="291"/>
      <c r="I3688" s="291"/>
      <c r="J3688" s="291"/>
      <c r="K3688" s="291"/>
      <c r="L3688" s="291"/>
      <c r="M3688" s="291"/>
      <c r="N3688" s="291"/>
      <c r="O3688" s="291"/>
      <c r="P3688" s="291"/>
      <c r="Q3688" s="291"/>
      <c r="R3688" s="291"/>
      <c r="S3688" s="291"/>
      <c r="T3688" s="291"/>
      <c r="U3688" s="291"/>
      <c r="V3688" s="291"/>
      <c r="W3688" s="291"/>
      <c r="X3688" s="265"/>
    </row>
    <row r="3689" spans="1:24">
      <c r="A3689" s="285" t="s">
        <v>92</v>
      </c>
      <c r="B3689" s="291"/>
      <c r="C3689" s="291"/>
      <c r="D3689" s="291"/>
      <c r="E3689" s="291"/>
      <c r="F3689" s="291"/>
      <c r="G3689" s="291"/>
      <c r="H3689" s="291"/>
      <c r="I3689" s="291"/>
      <c r="J3689" s="291"/>
      <c r="K3689" s="291"/>
      <c r="L3689" s="291"/>
      <c r="M3689" s="291"/>
      <c r="N3689" s="291"/>
      <c r="O3689" s="291"/>
      <c r="P3689" s="291"/>
      <c r="Q3689" s="291"/>
      <c r="R3689" s="291"/>
      <c r="S3689" s="291"/>
      <c r="T3689" s="291"/>
      <c r="U3689" s="291"/>
      <c r="V3689" s="291"/>
      <c r="W3689" s="291"/>
      <c r="X3689" s="265"/>
    </row>
    <row r="3690" spans="1:24">
      <c r="A3690" s="285" t="s">
        <v>58</v>
      </c>
      <c r="B3690" s="291"/>
      <c r="C3690" s="291"/>
      <c r="D3690" s="291"/>
      <c r="E3690" s="291"/>
      <c r="F3690" s="291"/>
      <c r="G3690" s="291"/>
      <c r="H3690" s="291"/>
      <c r="I3690" s="291"/>
      <c r="J3690" s="291"/>
      <c r="K3690" s="291"/>
      <c r="L3690" s="291"/>
      <c r="M3690" s="291"/>
      <c r="N3690" s="291"/>
      <c r="O3690" s="291"/>
      <c r="P3690" s="291"/>
      <c r="Q3690" s="291"/>
      <c r="R3690" s="291"/>
      <c r="S3690" s="291"/>
      <c r="T3690" s="291"/>
      <c r="U3690" s="291"/>
      <c r="V3690" s="291"/>
      <c r="W3690" s="291"/>
      <c r="X3690" s="265"/>
    </row>
    <row r="3691" spans="1:24">
      <c r="A3691" s="285" t="s">
        <v>59</v>
      </c>
      <c r="B3691" s="291"/>
      <c r="C3691" s="291"/>
      <c r="D3691" s="291"/>
      <c r="E3691" s="291"/>
      <c r="F3691" s="291"/>
      <c r="G3691" s="291"/>
      <c r="H3691" s="291"/>
      <c r="I3691" s="291"/>
      <c r="J3691" s="291"/>
      <c r="K3691" s="291"/>
      <c r="L3691" s="291"/>
      <c r="M3691" s="291"/>
      <c r="N3691" s="291"/>
      <c r="O3691" s="291"/>
      <c r="P3691" s="291"/>
      <c r="Q3691" s="291"/>
      <c r="R3691" s="291"/>
      <c r="S3691" s="291"/>
      <c r="T3691" s="291"/>
      <c r="U3691" s="291"/>
      <c r="V3691" s="291"/>
      <c r="W3691" s="291"/>
      <c r="X3691" s="265"/>
    </row>
    <row r="3692" spans="1:24">
      <c r="A3692" s="285" t="s">
        <v>72</v>
      </c>
      <c r="B3692" s="291"/>
      <c r="C3692" s="291"/>
      <c r="D3692" s="291"/>
      <c r="E3692" s="291"/>
      <c r="F3692" s="291"/>
      <c r="G3692" s="291"/>
      <c r="H3692" s="291"/>
      <c r="I3692" s="291"/>
      <c r="J3692" s="291"/>
      <c r="K3692" s="291"/>
      <c r="L3692" s="291"/>
      <c r="M3692" s="291"/>
      <c r="N3692" s="291"/>
      <c r="O3692" s="291"/>
      <c r="P3692" s="291"/>
      <c r="Q3692" s="291"/>
      <c r="R3692" s="291"/>
      <c r="S3692" s="291"/>
      <c r="T3692" s="291"/>
      <c r="U3692" s="291"/>
      <c r="V3692" s="291"/>
      <c r="W3692" s="291"/>
      <c r="X3692" s="265"/>
    </row>
    <row r="3693" spans="1:24">
      <c r="A3693" s="285" t="s">
        <v>1178</v>
      </c>
      <c r="B3693" s="291"/>
      <c r="C3693" s="291"/>
      <c r="D3693" s="291"/>
      <c r="E3693" s="291"/>
      <c r="F3693" s="291"/>
      <c r="G3693" s="291"/>
      <c r="H3693" s="291"/>
      <c r="I3693" s="291"/>
      <c r="J3693" s="291"/>
      <c r="K3693" s="291"/>
      <c r="L3693" s="291"/>
      <c r="M3693" s="291"/>
      <c r="N3693" s="291"/>
      <c r="O3693" s="291"/>
      <c r="P3693" s="291"/>
      <c r="Q3693" s="291"/>
      <c r="R3693" s="291"/>
      <c r="S3693" s="291"/>
      <c r="T3693" s="291"/>
      <c r="U3693" s="291"/>
      <c r="V3693" s="291"/>
      <c r="W3693" s="291"/>
      <c r="X3693" s="265"/>
    </row>
    <row r="3694" spans="1:24">
      <c r="A3694" s="285" t="s">
        <v>1177</v>
      </c>
      <c r="B3694" s="291"/>
      <c r="C3694" s="291"/>
      <c r="D3694" s="291"/>
      <c r="E3694" s="291"/>
      <c r="F3694" s="291"/>
      <c r="G3694" s="291"/>
      <c r="H3694" s="291"/>
      <c r="I3694" s="291"/>
      <c r="J3694" s="291"/>
      <c r="K3694" s="291"/>
      <c r="L3694" s="291"/>
      <c r="M3694" s="291"/>
      <c r="N3694" s="291"/>
      <c r="O3694" s="291"/>
      <c r="P3694" s="291"/>
      <c r="Q3694" s="291"/>
      <c r="R3694" s="291"/>
      <c r="S3694" s="291"/>
      <c r="T3694" s="291"/>
      <c r="U3694" s="291"/>
      <c r="V3694" s="291"/>
      <c r="W3694" s="291"/>
      <c r="X3694" s="265"/>
    </row>
    <row r="3695" spans="1:24">
      <c r="A3695" s="285" t="s">
        <v>60</v>
      </c>
      <c r="B3695" s="274">
        <f>$B$3366</f>
        <v>0</v>
      </c>
      <c r="C3695" s="274">
        <f>$C$3366</f>
        <v>4.3147705283382326E-2</v>
      </c>
      <c r="D3695" s="274">
        <f>$D$3366</f>
        <v>6.1114085837143993E-3</v>
      </c>
      <c r="E3695" s="274">
        <f>$E$3366</f>
        <v>1.5428232479293962E-2</v>
      </c>
      <c r="F3695" s="274">
        <f>$F$3366</f>
        <v>2.9461564218424816E-3</v>
      </c>
      <c r="G3695" s="274">
        <f>$G$3366</f>
        <v>0</v>
      </c>
      <c r="H3695" s="274">
        <f>$H$3366</f>
        <v>8.3939704248298386E-3</v>
      </c>
      <c r="I3695" s="274">
        <f>$I$3366</f>
        <v>0</v>
      </c>
      <c r="J3695" s="274">
        <f>$J$3366</f>
        <v>0</v>
      </c>
      <c r="K3695" s="291"/>
      <c r="L3695" s="291"/>
      <c r="M3695" s="274">
        <f>$K$3366</f>
        <v>1.3123935196217037E-2</v>
      </c>
      <c r="N3695" s="274">
        <f>$L$3366</f>
        <v>2.8415424559629705E-2</v>
      </c>
      <c r="O3695" s="274">
        <f>$M$3366</f>
        <v>4.0247394020856931E-3</v>
      </c>
      <c r="P3695" s="274">
        <f>$N$3366</f>
        <v>1.0160442443567196E-2</v>
      </c>
      <c r="Q3695" s="274">
        <f>$O$3366</f>
        <v>1.0211714071333632E-2</v>
      </c>
      <c r="R3695" s="274">
        <f>$P$3366</f>
        <v>0</v>
      </c>
      <c r="S3695" s="274">
        <f>$Q$3366</f>
        <v>2.9094458551520899E-2</v>
      </c>
      <c r="T3695" s="274">
        <f>$R$3366</f>
        <v>0</v>
      </c>
      <c r="U3695" s="274">
        <f>$S$3366</f>
        <v>0</v>
      </c>
      <c r="V3695" s="291"/>
      <c r="W3695" s="291"/>
      <c r="X3695" s="265"/>
    </row>
    <row r="3696" spans="1:24">
      <c r="A3696" s="285" t="s">
        <v>61</v>
      </c>
      <c r="B3696" s="274">
        <f>$B$3367</f>
        <v>0</v>
      </c>
      <c r="C3696" s="274">
        <f>$C$3367</f>
        <v>3.9041131206927711E-2</v>
      </c>
      <c r="D3696" s="274">
        <f>$D$3367</f>
        <v>5.5297565144867564E-3</v>
      </c>
      <c r="E3696" s="274">
        <f>$E$3367</f>
        <v>1.3959853590338658E-2</v>
      </c>
      <c r="F3696" s="274">
        <f>$F$3367</f>
        <v>2.6657565834812451E-3</v>
      </c>
      <c r="G3696" s="274">
        <f>$G$3367</f>
        <v>0</v>
      </c>
      <c r="H3696" s="274">
        <f>$H$3367</f>
        <v>0</v>
      </c>
      <c r="I3696" s="274">
        <f>$I$3367</f>
        <v>0</v>
      </c>
      <c r="J3696" s="274">
        <f>$J$3367</f>
        <v>0</v>
      </c>
      <c r="K3696" s="291"/>
      <c r="L3696" s="291"/>
      <c r="M3696" s="274">
        <f>$K$3367</f>
        <v>1.1874867332610117E-2</v>
      </c>
      <c r="N3696" s="274">
        <f>$L$3367</f>
        <v>2.571099230531539E-2</v>
      </c>
      <c r="O3696" s="274">
        <f>$M$3367</f>
        <v>3.641685647904794E-3</v>
      </c>
      <c r="P3696" s="274">
        <f>$N$3367</f>
        <v>9.1934244000808369E-3</v>
      </c>
      <c r="Q3696" s="274">
        <f>$O$3367</f>
        <v>9.2398162611004569E-3</v>
      </c>
      <c r="R3696" s="274">
        <f>$P$3367</f>
        <v>0</v>
      </c>
      <c r="S3696" s="274">
        <f>$Q$3367</f>
        <v>0</v>
      </c>
      <c r="T3696" s="274">
        <f>$R$3367</f>
        <v>0</v>
      </c>
      <c r="U3696" s="274">
        <f>$S$3367</f>
        <v>0</v>
      </c>
      <c r="V3696" s="291"/>
      <c r="W3696" s="291"/>
      <c r="X3696" s="265"/>
    </row>
    <row r="3697" spans="1:24">
      <c r="A3697" s="285" t="s">
        <v>73</v>
      </c>
      <c r="B3697" s="274">
        <f>$B$3368</f>
        <v>0</v>
      </c>
      <c r="C3697" s="274">
        <f>$C$3368</f>
        <v>3.4163936178472701E-2</v>
      </c>
      <c r="D3697" s="274">
        <f>$D$3368</f>
        <v>1.5968549098102406E-3</v>
      </c>
      <c r="E3697" s="274">
        <f>$E$3368</f>
        <v>3.2250043107778202E-3</v>
      </c>
      <c r="F3697" s="274">
        <f>$F$3368</f>
        <v>0</v>
      </c>
      <c r="G3697" s="274">
        <f>$G$3368</f>
        <v>0</v>
      </c>
      <c r="H3697" s="274">
        <f>$H$3368</f>
        <v>0</v>
      </c>
      <c r="I3697" s="274">
        <f>$I$3368</f>
        <v>0</v>
      </c>
      <c r="J3697" s="274">
        <f>$J$3368</f>
        <v>0</v>
      </c>
      <c r="K3697" s="291"/>
      <c r="L3697" s="291"/>
      <c r="M3697" s="274">
        <f>$K$3368</f>
        <v>1.0391405093485961E-2</v>
      </c>
      <c r="N3697" s="274">
        <f>$L$3368</f>
        <v>2.2499058635066665E-2</v>
      </c>
      <c r="O3697" s="274">
        <f>$M$3368</f>
        <v>3.1867497741715658E-3</v>
      </c>
      <c r="P3697" s="274">
        <f>$N$3368</f>
        <v>6.4359521306133136E-3</v>
      </c>
      <c r="Q3697" s="274">
        <f>$O$3368</f>
        <v>0</v>
      </c>
      <c r="R3697" s="274">
        <f>$P$3368</f>
        <v>0</v>
      </c>
      <c r="S3697" s="274">
        <f>$Q$3368</f>
        <v>0</v>
      </c>
      <c r="T3697" s="274">
        <f>$R$3368</f>
        <v>0</v>
      </c>
      <c r="U3697" s="274">
        <f>$S$3368</f>
        <v>0</v>
      </c>
      <c r="V3697" s="291"/>
      <c r="W3697" s="291"/>
      <c r="X3697" s="265"/>
    </row>
    <row r="3698" spans="1:24">
      <c r="A3698" s="285" t="s">
        <v>93</v>
      </c>
      <c r="B3698" s="291"/>
      <c r="C3698" s="291"/>
      <c r="D3698" s="291"/>
      <c r="E3698" s="291"/>
      <c r="F3698" s="291"/>
      <c r="G3698" s="291"/>
      <c r="H3698" s="291"/>
      <c r="I3698" s="291"/>
      <c r="J3698" s="291"/>
      <c r="K3698" s="291"/>
      <c r="L3698" s="291"/>
      <c r="M3698" s="291"/>
      <c r="N3698" s="291"/>
      <c r="O3698" s="291"/>
      <c r="P3698" s="291"/>
      <c r="Q3698" s="291"/>
      <c r="R3698" s="291"/>
      <c r="S3698" s="291"/>
      <c r="T3698" s="291"/>
      <c r="U3698" s="291"/>
      <c r="V3698" s="291"/>
      <c r="W3698" s="291"/>
      <c r="X3698" s="265"/>
    </row>
    <row r="3699" spans="1:24">
      <c r="A3699" s="285" t="s">
        <v>94</v>
      </c>
      <c r="B3699" s="291"/>
      <c r="C3699" s="291"/>
      <c r="D3699" s="291"/>
      <c r="E3699" s="291"/>
      <c r="F3699" s="291"/>
      <c r="G3699" s="291"/>
      <c r="H3699" s="291"/>
      <c r="I3699" s="291"/>
      <c r="J3699" s="291"/>
      <c r="K3699" s="291"/>
      <c r="L3699" s="291"/>
      <c r="M3699" s="291"/>
      <c r="N3699" s="291"/>
      <c r="O3699" s="291"/>
      <c r="P3699" s="291"/>
      <c r="Q3699" s="291"/>
      <c r="R3699" s="291"/>
      <c r="S3699" s="291"/>
      <c r="T3699" s="291"/>
      <c r="U3699" s="291"/>
      <c r="V3699" s="291"/>
      <c r="W3699" s="291"/>
      <c r="X3699" s="265"/>
    </row>
    <row r="3700" spans="1:24">
      <c r="A3700" s="285" t="s">
        <v>95</v>
      </c>
      <c r="B3700" s="291"/>
      <c r="C3700" s="291"/>
      <c r="D3700" s="291"/>
      <c r="E3700" s="291"/>
      <c r="F3700" s="291"/>
      <c r="G3700" s="291"/>
      <c r="H3700" s="291"/>
      <c r="I3700" s="291"/>
      <c r="J3700" s="291"/>
      <c r="K3700" s="291"/>
      <c r="L3700" s="291"/>
      <c r="M3700" s="291"/>
      <c r="N3700" s="291"/>
      <c r="O3700" s="291"/>
      <c r="P3700" s="291"/>
      <c r="Q3700" s="291"/>
      <c r="R3700" s="291"/>
      <c r="S3700" s="291"/>
      <c r="T3700" s="291"/>
      <c r="U3700" s="291"/>
      <c r="V3700" s="291"/>
      <c r="W3700" s="291"/>
      <c r="X3700" s="265"/>
    </row>
    <row r="3701" spans="1:24">
      <c r="A3701" s="285" t="s">
        <v>96</v>
      </c>
      <c r="B3701" s="291"/>
      <c r="C3701" s="291"/>
      <c r="D3701" s="291"/>
      <c r="E3701" s="291"/>
      <c r="F3701" s="291"/>
      <c r="G3701" s="291"/>
      <c r="H3701" s="291"/>
      <c r="I3701" s="291"/>
      <c r="J3701" s="291"/>
      <c r="K3701" s="291"/>
      <c r="L3701" s="291"/>
      <c r="M3701" s="291"/>
      <c r="N3701" s="291"/>
      <c r="O3701" s="291"/>
      <c r="P3701" s="291"/>
      <c r="Q3701" s="291"/>
      <c r="R3701" s="291"/>
      <c r="S3701" s="291"/>
      <c r="T3701" s="291"/>
      <c r="U3701" s="291"/>
      <c r="V3701" s="291"/>
      <c r="W3701" s="291"/>
      <c r="X3701" s="265"/>
    </row>
    <row r="3702" spans="1:24">
      <c r="A3702" s="285" t="s">
        <v>97</v>
      </c>
      <c r="B3702" s="291"/>
      <c r="C3702" s="291"/>
      <c r="D3702" s="291"/>
      <c r="E3702" s="291"/>
      <c r="F3702" s="291"/>
      <c r="G3702" s="291"/>
      <c r="H3702" s="291"/>
      <c r="I3702" s="291"/>
      <c r="J3702" s="291"/>
      <c r="K3702" s="291"/>
      <c r="L3702" s="291"/>
      <c r="M3702" s="291"/>
      <c r="N3702" s="291"/>
      <c r="O3702" s="291"/>
      <c r="P3702" s="291"/>
      <c r="Q3702" s="291"/>
      <c r="R3702" s="291"/>
      <c r="S3702" s="291"/>
      <c r="T3702" s="291"/>
      <c r="U3702" s="291"/>
      <c r="V3702" s="291"/>
      <c r="W3702" s="291"/>
      <c r="X3702" s="265"/>
    </row>
    <row r="3703" spans="1:24">
      <c r="A3703" s="285" t="s">
        <v>1176</v>
      </c>
      <c r="B3703" s="291"/>
      <c r="C3703" s="291"/>
      <c r="D3703" s="291"/>
      <c r="E3703" s="291"/>
      <c r="F3703" s="291"/>
      <c r="G3703" s="291"/>
      <c r="H3703" s="291"/>
      <c r="I3703" s="291"/>
      <c r="J3703" s="291"/>
      <c r="K3703" s="291"/>
      <c r="L3703" s="291"/>
      <c r="M3703" s="291"/>
      <c r="N3703" s="291"/>
      <c r="O3703" s="291"/>
      <c r="P3703" s="291"/>
      <c r="Q3703" s="291"/>
      <c r="R3703" s="291"/>
      <c r="S3703" s="291"/>
      <c r="T3703" s="291"/>
      <c r="U3703" s="291"/>
      <c r="V3703" s="291"/>
      <c r="W3703" s="291"/>
      <c r="X3703" s="265"/>
    </row>
    <row r="3704" spans="1:24">
      <c r="A3704" s="285" t="s">
        <v>62</v>
      </c>
      <c r="B3704" s="291"/>
      <c r="C3704" s="291"/>
      <c r="D3704" s="291"/>
      <c r="E3704" s="291"/>
      <c r="F3704" s="291"/>
      <c r="G3704" s="291"/>
      <c r="H3704" s="291"/>
      <c r="I3704" s="291"/>
      <c r="J3704" s="291"/>
      <c r="K3704" s="291"/>
      <c r="L3704" s="291"/>
      <c r="M3704" s="291"/>
      <c r="N3704" s="291"/>
      <c r="O3704" s="291"/>
      <c r="P3704" s="291"/>
      <c r="Q3704" s="291"/>
      <c r="R3704" s="291"/>
      <c r="S3704" s="291"/>
      <c r="T3704" s="291"/>
      <c r="U3704" s="291"/>
      <c r="V3704" s="291"/>
      <c r="W3704" s="291"/>
      <c r="X3704" s="265"/>
    </row>
    <row r="3705" spans="1:24">
      <c r="A3705" s="285" t="s">
        <v>63</v>
      </c>
      <c r="B3705" s="274">
        <f>$B$3410</f>
        <v>0</v>
      </c>
      <c r="C3705" s="274">
        <f>$C$3410</f>
        <v>3.1561215888711726E-2</v>
      </c>
      <c r="D3705" s="274">
        <f>$D$3410</f>
        <v>4.4703069242716421E-3</v>
      </c>
      <c r="E3705" s="274">
        <f>$E$3410</f>
        <v>1.1285276305244578E-2</v>
      </c>
      <c r="F3705" s="274">
        <f>$F$3410</f>
        <v>2.1550225732976927E-3</v>
      </c>
      <c r="G3705" s="274">
        <f>$G$3410</f>
        <v>0</v>
      </c>
      <c r="H3705" s="274">
        <f>$H$3410</f>
        <v>7.6749131559131576E-3</v>
      </c>
      <c r="I3705" s="274">
        <f>$I$3410</f>
        <v>8.6068663266700672E-4</v>
      </c>
      <c r="J3705" s="274">
        <f>$J$3410</f>
        <v>1.8485276276334959E-3</v>
      </c>
      <c r="K3705" s="291"/>
      <c r="L3705" s="291"/>
      <c r="M3705" s="274">
        <f>$K$3410</f>
        <v>9.5997538992367622E-3</v>
      </c>
      <c r="N3705" s="274">
        <f>$L$3410</f>
        <v>2.0785006831899194E-2</v>
      </c>
      <c r="O3705" s="274">
        <f>$M$3410</f>
        <v>2.9439727635748245E-3</v>
      </c>
      <c r="P3705" s="274">
        <f>$N$3410</f>
        <v>7.432050334546002E-3</v>
      </c>
      <c r="Q3705" s="274">
        <f>$O$3410</f>
        <v>7.4695539492173795E-3</v>
      </c>
      <c r="R3705" s="274">
        <f>$P$3410</f>
        <v>0</v>
      </c>
      <c r="S3705" s="274">
        <f>$Q$3410</f>
        <v>2.6602124072383129E-2</v>
      </c>
      <c r="T3705" s="274">
        <f>$R$3410</f>
        <v>1.1336304408035427E-2</v>
      </c>
      <c r="U3705" s="274">
        <f>$S$3410</f>
        <v>2.4347388582743778E-2</v>
      </c>
      <c r="V3705" s="291"/>
      <c r="W3705" s="291"/>
      <c r="X3705" s="265"/>
    </row>
    <row r="3706" spans="1:24">
      <c r="A3706" s="285" t="s">
        <v>1516</v>
      </c>
      <c r="B3706" s="291"/>
      <c r="C3706" s="291"/>
      <c r="D3706" s="291"/>
      <c r="E3706" s="291"/>
      <c r="F3706" s="291"/>
      <c r="G3706" s="291"/>
      <c r="H3706" s="291"/>
      <c r="I3706" s="291"/>
      <c r="J3706" s="291"/>
      <c r="K3706" s="291"/>
      <c r="L3706" s="291"/>
      <c r="M3706" s="291"/>
      <c r="N3706" s="291"/>
      <c r="O3706" s="291"/>
      <c r="P3706" s="291"/>
      <c r="Q3706" s="291"/>
      <c r="R3706" s="291"/>
      <c r="S3706" s="291"/>
      <c r="T3706" s="291"/>
      <c r="U3706" s="291"/>
      <c r="V3706" s="291"/>
      <c r="W3706" s="291"/>
      <c r="X3706" s="265"/>
    </row>
    <row r="3707" spans="1:24">
      <c r="A3707" s="285" t="s">
        <v>64</v>
      </c>
      <c r="B3707" s="274">
        <f>$B$3411</f>
        <v>0</v>
      </c>
      <c r="C3707" s="274">
        <f>$C$3411</f>
        <v>3.1561215888711726E-2</v>
      </c>
      <c r="D3707" s="274">
        <f>$D$3411</f>
        <v>4.4703069242716421E-3</v>
      </c>
      <c r="E3707" s="274">
        <f>$E$3411</f>
        <v>1.1285276305244578E-2</v>
      </c>
      <c r="F3707" s="274">
        <f>$F$3411</f>
        <v>2.1550225732976927E-3</v>
      </c>
      <c r="G3707" s="274">
        <f>$G$3411</f>
        <v>0</v>
      </c>
      <c r="H3707" s="274">
        <f>$H$3411</f>
        <v>7.6749131559131576E-3</v>
      </c>
      <c r="I3707" s="274">
        <f>$I$3411</f>
        <v>8.6068663266700672E-4</v>
      </c>
      <c r="J3707" s="274">
        <f>$J$3411</f>
        <v>1.8485276276334959E-3</v>
      </c>
      <c r="K3707" s="291"/>
      <c r="L3707" s="291"/>
      <c r="M3707" s="274">
        <f>$K$3411</f>
        <v>9.5997538992367622E-3</v>
      </c>
      <c r="N3707" s="274">
        <f>$L$3411</f>
        <v>2.0785006831899194E-2</v>
      </c>
      <c r="O3707" s="274">
        <f>$M$3411</f>
        <v>2.9439727635748245E-3</v>
      </c>
      <c r="P3707" s="274">
        <f>$N$3411</f>
        <v>7.432050334546002E-3</v>
      </c>
      <c r="Q3707" s="274">
        <f>$O$3411</f>
        <v>7.4695539492173795E-3</v>
      </c>
      <c r="R3707" s="274">
        <f>$P$3411</f>
        <v>0</v>
      </c>
      <c r="S3707" s="274">
        <f>$Q$3411</f>
        <v>2.6602124072383129E-2</v>
      </c>
      <c r="T3707" s="274">
        <f>$R$3411</f>
        <v>1.1336304408035427E-2</v>
      </c>
      <c r="U3707" s="274">
        <f>$S$3411</f>
        <v>2.4347388582743778E-2</v>
      </c>
      <c r="V3707" s="291"/>
      <c r="W3707" s="291"/>
      <c r="X3707" s="265"/>
    </row>
    <row r="3708" spans="1:24">
      <c r="A3708" s="285" t="s">
        <v>1517</v>
      </c>
      <c r="B3708" s="291"/>
      <c r="C3708" s="291"/>
      <c r="D3708" s="291"/>
      <c r="E3708" s="291"/>
      <c r="F3708" s="291"/>
      <c r="G3708" s="291"/>
      <c r="H3708" s="291"/>
      <c r="I3708" s="291"/>
      <c r="J3708" s="291"/>
      <c r="K3708" s="291"/>
      <c r="L3708" s="291"/>
      <c r="M3708" s="291"/>
      <c r="N3708" s="291"/>
      <c r="O3708" s="291"/>
      <c r="P3708" s="291"/>
      <c r="Q3708" s="291"/>
      <c r="R3708" s="291"/>
      <c r="S3708" s="291"/>
      <c r="T3708" s="291"/>
      <c r="U3708" s="291"/>
      <c r="V3708" s="291"/>
      <c r="W3708" s="291"/>
      <c r="X3708" s="265"/>
    </row>
    <row r="3709" spans="1:24">
      <c r="A3709" s="285" t="s">
        <v>65</v>
      </c>
      <c r="B3709" s="274">
        <f>$B$3412</f>
        <v>0</v>
      </c>
      <c r="C3709" s="274">
        <f>$C$3412</f>
        <v>3.1174873321335783E-2</v>
      </c>
      <c r="D3709" s="274">
        <f>$D$3412</f>
        <v>4.4155856530705764E-3</v>
      </c>
      <c r="E3709" s="274">
        <f>$E$3412</f>
        <v>1.114713262165872E-2</v>
      </c>
      <c r="F3709" s="274">
        <f>$F$3412</f>
        <v>2.1286428242836899E-3</v>
      </c>
      <c r="G3709" s="274">
        <f>$G$3412</f>
        <v>0</v>
      </c>
      <c r="H3709" s="274">
        <f>$H$3412</f>
        <v>7.5809641248144079E-3</v>
      </c>
      <c r="I3709" s="274">
        <f>$I$3412</f>
        <v>8.5015092059104506E-4</v>
      </c>
      <c r="J3709" s="274">
        <f>$J$3412</f>
        <v>0</v>
      </c>
      <c r="K3709" s="291"/>
      <c r="L3709" s="291"/>
      <c r="M3709" s="274">
        <f>$K$3412</f>
        <v>9.4822427874758624E-3</v>
      </c>
      <c r="N3709" s="274">
        <f>$L$3412</f>
        <v>2.0530576428118879E-2</v>
      </c>
      <c r="O3709" s="274">
        <f>$M$3412</f>
        <v>2.9079354321939642E-3</v>
      </c>
      <c r="P3709" s="274">
        <f>$N$3412</f>
        <v>7.3410742005073039E-3</v>
      </c>
      <c r="Q3709" s="274">
        <f>$O$3412</f>
        <v>7.3781187313832685E-3</v>
      </c>
      <c r="R3709" s="274">
        <f>$P$3412</f>
        <v>0</v>
      </c>
      <c r="S3709" s="274">
        <f>$Q$3412</f>
        <v>2.6276486018766382E-2</v>
      </c>
      <c r="T3709" s="274">
        <f>$R$3412</f>
        <v>1.1197536086656459E-2</v>
      </c>
      <c r="U3709" s="274">
        <f>$S$3412</f>
        <v>0</v>
      </c>
      <c r="V3709" s="291"/>
      <c r="W3709" s="291"/>
      <c r="X3709" s="265"/>
    </row>
    <row r="3710" spans="1:24">
      <c r="A3710" s="285" t="s">
        <v>1518</v>
      </c>
      <c r="B3710" s="291"/>
      <c r="C3710" s="291"/>
      <c r="D3710" s="291"/>
      <c r="E3710" s="291"/>
      <c r="F3710" s="291"/>
      <c r="G3710" s="291"/>
      <c r="H3710" s="291"/>
      <c r="I3710" s="291"/>
      <c r="J3710" s="291"/>
      <c r="K3710" s="291"/>
      <c r="L3710" s="291"/>
      <c r="M3710" s="291"/>
      <c r="N3710" s="291"/>
      <c r="O3710" s="291"/>
      <c r="P3710" s="291"/>
      <c r="Q3710" s="291"/>
      <c r="R3710" s="291"/>
      <c r="S3710" s="291"/>
      <c r="T3710" s="291"/>
      <c r="U3710" s="291"/>
      <c r="V3710" s="291"/>
      <c r="W3710" s="291"/>
      <c r="X3710" s="265"/>
    </row>
    <row r="3711" spans="1:24">
      <c r="A3711" s="285" t="s">
        <v>66</v>
      </c>
      <c r="B3711" s="274">
        <f>$B$3413</f>
        <v>0</v>
      </c>
      <c r="C3711" s="274">
        <f>$C$3413</f>
        <v>3.1174873321335783E-2</v>
      </c>
      <c r="D3711" s="274">
        <f>$D$3413</f>
        <v>4.4155856530705764E-3</v>
      </c>
      <c r="E3711" s="274">
        <f>$E$3413</f>
        <v>1.114713262165872E-2</v>
      </c>
      <c r="F3711" s="274">
        <f>$F$3413</f>
        <v>2.1286428242836899E-3</v>
      </c>
      <c r="G3711" s="274">
        <f>$G$3413</f>
        <v>0</v>
      </c>
      <c r="H3711" s="274">
        <f>$H$3413</f>
        <v>7.5809641248144079E-3</v>
      </c>
      <c r="I3711" s="274">
        <f>$I$3413</f>
        <v>8.5015092059104506E-4</v>
      </c>
      <c r="J3711" s="274">
        <f>$J$3413</f>
        <v>0</v>
      </c>
      <c r="K3711" s="291"/>
      <c r="L3711" s="291"/>
      <c r="M3711" s="274">
        <f>$K$3413</f>
        <v>9.4822427874758624E-3</v>
      </c>
      <c r="N3711" s="274">
        <f>$L$3413</f>
        <v>2.0530576428118879E-2</v>
      </c>
      <c r="O3711" s="274">
        <f>$M$3413</f>
        <v>2.9079354321939642E-3</v>
      </c>
      <c r="P3711" s="274">
        <f>$N$3413</f>
        <v>7.3410742005073039E-3</v>
      </c>
      <c r="Q3711" s="274">
        <f>$O$3413</f>
        <v>7.3781187313832685E-3</v>
      </c>
      <c r="R3711" s="274">
        <f>$P$3413</f>
        <v>0</v>
      </c>
      <c r="S3711" s="274">
        <f>$Q$3413</f>
        <v>2.6276486018766382E-2</v>
      </c>
      <c r="T3711" s="274">
        <f>$R$3413</f>
        <v>1.1197536086656459E-2</v>
      </c>
      <c r="U3711" s="274">
        <f>$S$3413</f>
        <v>0</v>
      </c>
      <c r="V3711" s="291"/>
      <c r="W3711" s="291"/>
      <c r="X3711" s="265"/>
    </row>
    <row r="3712" spans="1:24">
      <c r="A3712" s="285" t="s">
        <v>1519</v>
      </c>
      <c r="B3712" s="291"/>
      <c r="C3712" s="291"/>
      <c r="D3712" s="291"/>
      <c r="E3712" s="291"/>
      <c r="F3712" s="291"/>
      <c r="G3712" s="291"/>
      <c r="H3712" s="291"/>
      <c r="I3712" s="291"/>
      <c r="J3712" s="291"/>
      <c r="K3712" s="291"/>
      <c r="L3712" s="291"/>
      <c r="M3712" s="291"/>
      <c r="N3712" s="291"/>
      <c r="O3712" s="291"/>
      <c r="P3712" s="291"/>
      <c r="Q3712" s="291"/>
      <c r="R3712" s="291"/>
      <c r="S3712" s="291"/>
      <c r="T3712" s="291"/>
      <c r="U3712" s="291"/>
      <c r="V3712" s="291"/>
      <c r="W3712" s="291"/>
      <c r="X3712" s="265"/>
    </row>
    <row r="3713" spans="1:24">
      <c r="A3713" s="285" t="s">
        <v>74</v>
      </c>
      <c r="B3713" s="274">
        <f>$B$3414</f>
        <v>0</v>
      </c>
      <c r="C3713" s="274">
        <f>$C$3414</f>
        <v>3.0847968072017683E-2</v>
      </c>
      <c r="D3713" s="274">
        <f>$D$3414</f>
        <v>1.4418634028625311E-3</v>
      </c>
      <c r="E3713" s="274">
        <f>$E$3414</f>
        <v>3.6399797981153275E-3</v>
      </c>
      <c r="F3713" s="274">
        <f>$F$3414</f>
        <v>0</v>
      </c>
      <c r="G3713" s="274">
        <f>$G$3414</f>
        <v>0</v>
      </c>
      <c r="H3713" s="274">
        <f>$H$3414</f>
        <v>0</v>
      </c>
      <c r="I3713" s="274">
        <f>$I$3414</f>
        <v>0</v>
      </c>
      <c r="J3713" s="274">
        <f>$J$3414</f>
        <v>0</v>
      </c>
      <c r="K3713" s="291"/>
      <c r="L3713" s="291"/>
      <c r="M3713" s="274">
        <f>$K$3414</f>
        <v>9.3828103082935592E-3</v>
      </c>
      <c r="N3713" s="274">
        <f>$L$3414</f>
        <v>2.0315289163381697E-2</v>
      </c>
      <c r="O3713" s="274">
        <f>$M$3414</f>
        <v>2.8774423056409293E-3</v>
      </c>
      <c r="P3713" s="274">
        <f>$N$3414</f>
        <v>7.2640943947822507E-3</v>
      </c>
      <c r="Q3713" s="274">
        <f>$O$3414</f>
        <v>7.3007504701390214E-3</v>
      </c>
      <c r="R3713" s="274">
        <f>$P$3414</f>
        <v>0</v>
      </c>
      <c r="S3713" s="274">
        <f>$Q$3414</f>
        <v>2.6000946127244524E-2</v>
      </c>
      <c r="T3713" s="274">
        <f>$R$3414</f>
        <v>0</v>
      </c>
      <c r="U3713" s="274">
        <f>$S$3414</f>
        <v>0</v>
      </c>
      <c r="V3713" s="291"/>
      <c r="W3713" s="291"/>
      <c r="X3713" s="265"/>
    </row>
    <row r="3714" spans="1:24">
      <c r="A3714" s="285" t="s">
        <v>1520</v>
      </c>
      <c r="B3714" s="291"/>
      <c r="C3714" s="291"/>
      <c r="D3714" s="291"/>
      <c r="E3714" s="291"/>
      <c r="F3714" s="291"/>
      <c r="G3714" s="291"/>
      <c r="H3714" s="291"/>
      <c r="I3714" s="291"/>
      <c r="J3714" s="291"/>
      <c r="K3714" s="291"/>
      <c r="L3714" s="291"/>
      <c r="M3714" s="291"/>
      <c r="N3714" s="291"/>
      <c r="O3714" s="291"/>
      <c r="P3714" s="291"/>
      <c r="Q3714" s="291"/>
      <c r="R3714" s="291"/>
      <c r="S3714" s="291"/>
      <c r="T3714" s="291"/>
      <c r="U3714" s="291"/>
      <c r="V3714" s="291"/>
      <c r="W3714" s="291"/>
      <c r="X3714" s="265"/>
    </row>
    <row r="3715" spans="1:24">
      <c r="A3715" s="285" t="s">
        <v>75</v>
      </c>
      <c r="B3715" s="274">
        <f>$B$3415</f>
        <v>0</v>
      </c>
      <c r="C3715" s="274">
        <f>$C$3415</f>
        <v>3.0847968072017683E-2</v>
      </c>
      <c r="D3715" s="274">
        <f>$D$3415</f>
        <v>1.4418634028625311E-3</v>
      </c>
      <c r="E3715" s="274">
        <f>$E$3415</f>
        <v>3.6399797981153275E-3</v>
      </c>
      <c r="F3715" s="274">
        <f>$F$3415</f>
        <v>0</v>
      </c>
      <c r="G3715" s="274">
        <f>$G$3415</f>
        <v>0</v>
      </c>
      <c r="H3715" s="274">
        <f>$H$3415</f>
        <v>0</v>
      </c>
      <c r="I3715" s="274">
        <f>$I$3415</f>
        <v>0</v>
      </c>
      <c r="J3715" s="274">
        <f>$J$3415</f>
        <v>0</v>
      </c>
      <c r="K3715" s="291"/>
      <c r="L3715" s="291"/>
      <c r="M3715" s="274">
        <f>$K$3415</f>
        <v>9.3828103082935592E-3</v>
      </c>
      <c r="N3715" s="274">
        <f>$L$3415</f>
        <v>2.0315289163381697E-2</v>
      </c>
      <c r="O3715" s="274">
        <f>$M$3415</f>
        <v>2.8774423056409293E-3</v>
      </c>
      <c r="P3715" s="274">
        <f>$N$3415</f>
        <v>7.2640943947822507E-3</v>
      </c>
      <c r="Q3715" s="274">
        <f>$O$3415</f>
        <v>7.3007504701390214E-3</v>
      </c>
      <c r="R3715" s="274">
        <f>$P$3415</f>
        <v>0</v>
      </c>
      <c r="S3715" s="274">
        <f>$Q$3415</f>
        <v>2.6000946127244524E-2</v>
      </c>
      <c r="T3715" s="274">
        <f>$R$3415</f>
        <v>0</v>
      </c>
      <c r="U3715" s="274">
        <f>$S$3415</f>
        <v>0</v>
      </c>
      <c r="V3715" s="291"/>
      <c r="W3715" s="291"/>
      <c r="X3715" s="265"/>
    </row>
    <row r="3716" spans="1:24">
      <c r="A3716" s="285" t="s">
        <v>1521</v>
      </c>
      <c r="B3716" s="291"/>
      <c r="C3716" s="291"/>
      <c r="D3716" s="291"/>
      <c r="E3716" s="291"/>
      <c r="F3716" s="291"/>
      <c r="G3716" s="291"/>
      <c r="H3716" s="291"/>
      <c r="I3716" s="291"/>
      <c r="J3716" s="291"/>
      <c r="K3716" s="291"/>
      <c r="L3716" s="291"/>
      <c r="M3716" s="291"/>
      <c r="N3716" s="291"/>
      <c r="O3716" s="291"/>
      <c r="P3716" s="291"/>
      <c r="Q3716" s="291"/>
      <c r="R3716" s="291"/>
      <c r="S3716" s="291"/>
      <c r="T3716" s="291"/>
      <c r="U3716" s="291"/>
      <c r="V3716" s="291"/>
      <c r="W3716" s="291"/>
      <c r="X3716" s="265"/>
    </row>
    <row r="3718" spans="1:24" ht="21" customHeight="1">
      <c r="A3718" s="1" t="s">
        <v>1585</v>
      </c>
    </row>
    <row r="3719" spans="1:24">
      <c r="A3719" s="264" t="s">
        <v>217</v>
      </c>
    </row>
    <row r="3720" spans="1:24">
      <c r="A3720" s="269" t="s">
        <v>710</v>
      </c>
    </row>
    <row r="3721" spans="1:24">
      <c r="A3721" s="269" t="s">
        <v>711</v>
      </c>
    </row>
    <row r="3722" spans="1:24">
      <c r="A3722" s="269" t="s">
        <v>712</v>
      </c>
    </row>
    <row r="3723" spans="1:24">
      <c r="A3723" s="269" t="s">
        <v>713</v>
      </c>
    </row>
    <row r="3724" spans="1:24">
      <c r="A3724" s="269" t="s">
        <v>714</v>
      </c>
    </row>
    <row r="3725" spans="1:24">
      <c r="A3725" s="269" t="s">
        <v>1586</v>
      </c>
    </row>
    <row r="3726" spans="1:24">
      <c r="A3726" s="269" t="s">
        <v>1587</v>
      </c>
    </row>
    <row r="3727" spans="1:24">
      <c r="A3727" s="270" t="s">
        <v>220</v>
      </c>
      <c r="B3727" s="270" t="s">
        <v>343</v>
      </c>
      <c r="C3727" s="270" t="s">
        <v>343</v>
      </c>
      <c r="D3727" s="270" t="s">
        <v>343</v>
      </c>
      <c r="E3727" s="270" t="s">
        <v>343</v>
      </c>
      <c r="F3727" s="270" t="s">
        <v>343</v>
      </c>
      <c r="G3727" s="270" t="s">
        <v>343</v>
      </c>
      <c r="H3727" s="270" t="s">
        <v>343</v>
      </c>
    </row>
    <row r="3728" spans="1:24">
      <c r="A3728" s="270" t="s">
        <v>223</v>
      </c>
      <c r="B3728" s="270" t="s">
        <v>391</v>
      </c>
      <c r="C3728" s="270" t="s">
        <v>392</v>
      </c>
      <c r="D3728" s="270" t="s">
        <v>393</v>
      </c>
      <c r="E3728" s="270" t="s">
        <v>394</v>
      </c>
      <c r="F3728" s="270" t="s">
        <v>345</v>
      </c>
      <c r="G3728" s="270" t="s">
        <v>395</v>
      </c>
      <c r="H3728" s="270" t="s">
        <v>959</v>
      </c>
    </row>
    <row r="3730" spans="1:9" ht="30">
      <c r="B3730" s="284" t="s">
        <v>715</v>
      </c>
      <c r="C3730" s="284" t="s">
        <v>716</v>
      </c>
      <c r="D3730" s="284" t="s">
        <v>717</v>
      </c>
      <c r="E3730" s="284" t="s">
        <v>718</v>
      </c>
      <c r="F3730" s="284" t="s">
        <v>719</v>
      </c>
      <c r="G3730" s="284" t="s">
        <v>1588</v>
      </c>
      <c r="H3730" s="284" t="s">
        <v>720</v>
      </c>
    </row>
    <row r="3731" spans="1:9">
      <c r="A3731" s="285" t="s">
        <v>54</v>
      </c>
      <c r="B3731" s="273">
        <f t="shared" ref="B3731:B3763" si="641">SUM($B3431:$W3431)</f>
        <v>1.5974130739631409</v>
      </c>
      <c r="C3731" s="273">
        <f t="shared" ref="C3731:C3763" si="642">SUM($B3475:$W3475)</f>
        <v>0</v>
      </c>
      <c r="D3731" s="273">
        <f t="shared" ref="D3731:D3763" si="643">SUM($B3519:$W3519)</f>
        <v>0</v>
      </c>
      <c r="E3731" s="273">
        <f t="shared" ref="E3731:E3763" si="644">SUM($B3563:$W3563)</f>
        <v>5.8173660011938919</v>
      </c>
      <c r="F3731" s="273">
        <f t="shared" ref="F3731:F3763" si="645">SUM($B3603:$W3603)</f>
        <v>0</v>
      </c>
      <c r="G3731" s="273">
        <f t="shared" ref="G3731:G3763" si="646">SUM($B3643:$W3643)</f>
        <v>0</v>
      </c>
      <c r="H3731" s="273">
        <f t="shared" ref="H3731:H3763" si="647">SUM($B3684:$W3684)</f>
        <v>0</v>
      </c>
      <c r="I3731" s="265"/>
    </row>
    <row r="3732" spans="1:9">
      <c r="A3732" s="285" t="s">
        <v>55</v>
      </c>
      <c r="B3732" s="273">
        <f t="shared" si="641"/>
        <v>1.981279747087924</v>
      </c>
      <c r="C3732" s="273">
        <f t="shared" si="642"/>
        <v>0.16992123025572173</v>
      </c>
      <c r="D3732" s="273">
        <f t="shared" si="643"/>
        <v>0</v>
      </c>
      <c r="E3732" s="273">
        <f t="shared" si="644"/>
        <v>5.8173660011938919</v>
      </c>
      <c r="F3732" s="273">
        <f t="shared" si="645"/>
        <v>0</v>
      </c>
      <c r="G3732" s="273">
        <f t="shared" si="646"/>
        <v>0</v>
      </c>
      <c r="H3732" s="273">
        <f t="shared" si="647"/>
        <v>0</v>
      </c>
      <c r="I3732" s="265"/>
    </row>
    <row r="3733" spans="1:9">
      <c r="A3733" s="285" t="s">
        <v>91</v>
      </c>
      <c r="B3733" s="273">
        <f t="shared" si="641"/>
        <v>0.14887893845380923</v>
      </c>
      <c r="C3733" s="273">
        <f t="shared" si="642"/>
        <v>0</v>
      </c>
      <c r="D3733" s="273">
        <f t="shared" si="643"/>
        <v>0</v>
      </c>
      <c r="E3733" s="273">
        <f t="shared" si="644"/>
        <v>0</v>
      </c>
      <c r="F3733" s="273">
        <f t="shared" si="645"/>
        <v>0</v>
      </c>
      <c r="G3733" s="273">
        <f t="shared" si="646"/>
        <v>0</v>
      </c>
      <c r="H3733" s="273">
        <f t="shared" si="647"/>
        <v>0</v>
      </c>
      <c r="I3733" s="265"/>
    </row>
    <row r="3734" spans="1:9">
      <c r="A3734" s="285" t="s">
        <v>56</v>
      </c>
      <c r="B3734" s="273">
        <f t="shared" si="641"/>
        <v>1.3282779490351984</v>
      </c>
      <c r="C3734" s="273">
        <f t="shared" si="642"/>
        <v>0</v>
      </c>
      <c r="D3734" s="273">
        <f t="shared" si="643"/>
        <v>0</v>
      </c>
      <c r="E3734" s="273">
        <f t="shared" si="644"/>
        <v>9.4099596279529223</v>
      </c>
      <c r="F3734" s="273">
        <f t="shared" si="645"/>
        <v>0</v>
      </c>
      <c r="G3734" s="273">
        <f t="shared" si="646"/>
        <v>0</v>
      </c>
      <c r="H3734" s="273">
        <f t="shared" si="647"/>
        <v>0</v>
      </c>
      <c r="I3734" s="265"/>
    </row>
    <row r="3735" spans="1:9">
      <c r="A3735" s="285" t="s">
        <v>57</v>
      </c>
      <c r="B3735" s="273">
        <f t="shared" si="641"/>
        <v>1.5555963935593731</v>
      </c>
      <c r="C3735" s="273">
        <f t="shared" si="642"/>
        <v>0.16395019437015651</v>
      </c>
      <c r="D3735" s="273">
        <f t="shared" si="643"/>
        <v>0</v>
      </c>
      <c r="E3735" s="273">
        <f t="shared" si="644"/>
        <v>9.4099596279529223</v>
      </c>
      <c r="F3735" s="273">
        <f t="shared" si="645"/>
        <v>0</v>
      </c>
      <c r="G3735" s="273">
        <f t="shared" si="646"/>
        <v>0</v>
      </c>
      <c r="H3735" s="273">
        <f t="shared" si="647"/>
        <v>0</v>
      </c>
      <c r="I3735" s="265"/>
    </row>
    <row r="3736" spans="1:9">
      <c r="A3736" s="285" t="s">
        <v>92</v>
      </c>
      <c r="B3736" s="273">
        <f t="shared" si="641"/>
        <v>0.15764920833940255</v>
      </c>
      <c r="C3736" s="273">
        <f t="shared" si="642"/>
        <v>0</v>
      </c>
      <c r="D3736" s="273">
        <f t="shared" si="643"/>
        <v>0</v>
      </c>
      <c r="E3736" s="273">
        <f t="shared" si="644"/>
        <v>0</v>
      </c>
      <c r="F3736" s="273">
        <f t="shared" si="645"/>
        <v>0</v>
      </c>
      <c r="G3736" s="273">
        <f t="shared" si="646"/>
        <v>0</v>
      </c>
      <c r="H3736" s="273">
        <f t="shared" si="647"/>
        <v>0</v>
      </c>
      <c r="I3736" s="265"/>
    </row>
    <row r="3737" spans="1:9">
      <c r="A3737" s="285" t="s">
        <v>58</v>
      </c>
      <c r="B3737" s="273">
        <f t="shared" si="641"/>
        <v>1.3955325154428646</v>
      </c>
      <c r="C3737" s="273">
        <f t="shared" si="642"/>
        <v>0.13508531590967113</v>
      </c>
      <c r="D3737" s="273">
        <f t="shared" si="643"/>
        <v>0</v>
      </c>
      <c r="E3737" s="273">
        <f t="shared" si="644"/>
        <v>41.796281951078036</v>
      </c>
      <c r="F3737" s="273">
        <f t="shared" si="645"/>
        <v>0</v>
      </c>
      <c r="G3737" s="273">
        <f t="shared" si="646"/>
        <v>0</v>
      </c>
      <c r="H3737" s="273">
        <f t="shared" si="647"/>
        <v>0</v>
      </c>
      <c r="I3737" s="265"/>
    </row>
    <row r="3738" spans="1:9">
      <c r="A3738" s="285" t="s">
        <v>59</v>
      </c>
      <c r="B3738" s="273">
        <f t="shared" si="641"/>
        <v>1.2518726071588753</v>
      </c>
      <c r="C3738" s="273">
        <f t="shared" si="642"/>
        <v>0.12019274783534691</v>
      </c>
      <c r="D3738" s="273">
        <f t="shared" si="643"/>
        <v>0</v>
      </c>
      <c r="E3738" s="273">
        <f t="shared" si="644"/>
        <v>28.974613428245771</v>
      </c>
      <c r="F3738" s="273">
        <f t="shared" si="645"/>
        <v>0</v>
      </c>
      <c r="G3738" s="273">
        <f t="shared" si="646"/>
        <v>0</v>
      </c>
      <c r="H3738" s="273">
        <f t="shared" si="647"/>
        <v>0</v>
      </c>
      <c r="I3738" s="265"/>
    </row>
    <row r="3739" spans="1:9">
      <c r="A3739" s="285" t="s">
        <v>72</v>
      </c>
      <c r="B3739" s="273">
        <f t="shared" si="641"/>
        <v>0.73772845925437436</v>
      </c>
      <c r="C3739" s="273">
        <f t="shared" si="642"/>
        <v>5.9619450949563994E-2</v>
      </c>
      <c r="D3739" s="273">
        <f t="shared" si="643"/>
        <v>0</v>
      </c>
      <c r="E3739" s="273">
        <f t="shared" si="644"/>
        <v>194.35913421408878</v>
      </c>
      <c r="F3739" s="273">
        <f t="shared" si="645"/>
        <v>0</v>
      </c>
      <c r="G3739" s="273">
        <f t="shared" si="646"/>
        <v>0</v>
      </c>
      <c r="H3739" s="273">
        <f t="shared" si="647"/>
        <v>0</v>
      </c>
      <c r="I3739" s="265"/>
    </row>
    <row r="3740" spans="1:9">
      <c r="A3740" s="285" t="s">
        <v>1178</v>
      </c>
      <c r="B3740" s="273">
        <f t="shared" si="641"/>
        <v>14.274986486546482</v>
      </c>
      <c r="C3740" s="273">
        <f t="shared" si="642"/>
        <v>0.5883626595058159</v>
      </c>
      <c r="D3740" s="273">
        <f t="shared" si="643"/>
        <v>0.15441312704351895</v>
      </c>
      <c r="E3740" s="273">
        <f t="shared" si="644"/>
        <v>5.8173660011938919</v>
      </c>
      <c r="F3740" s="273">
        <f t="shared" si="645"/>
        <v>0</v>
      </c>
      <c r="G3740" s="273">
        <f t="shared" si="646"/>
        <v>0</v>
      </c>
      <c r="H3740" s="273">
        <f t="shared" si="647"/>
        <v>0</v>
      </c>
      <c r="I3740" s="265"/>
    </row>
    <row r="3741" spans="1:9">
      <c r="A3741" s="285" t="s">
        <v>1177</v>
      </c>
      <c r="B3741" s="273">
        <f t="shared" si="641"/>
        <v>14.55739952578163</v>
      </c>
      <c r="C3741" s="273">
        <f t="shared" si="642"/>
        <v>0.60006223447784168</v>
      </c>
      <c r="D3741" s="273">
        <f t="shared" si="643"/>
        <v>0.15747347968875935</v>
      </c>
      <c r="E3741" s="273">
        <f t="shared" si="644"/>
        <v>9.4099596279529223</v>
      </c>
      <c r="F3741" s="273">
        <f t="shared" si="645"/>
        <v>0</v>
      </c>
      <c r="G3741" s="273">
        <f t="shared" si="646"/>
        <v>0</v>
      </c>
      <c r="H3741" s="273">
        <f t="shared" si="647"/>
        <v>0</v>
      </c>
      <c r="I3741" s="265"/>
    </row>
    <row r="3742" spans="1:9">
      <c r="A3742" s="285" t="s">
        <v>60</v>
      </c>
      <c r="B3742" s="273">
        <f t="shared" si="641"/>
        <v>10.234651488932164</v>
      </c>
      <c r="C3742" s="273">
        <f t="shared" si="642"/>
        <v>0.37568768282311654</v>
      </c>
      <c r="D3742" s="273">
        <f t="shared" si="643"/>
        <v>0.10451768300838116</v>
      </c>
      <c r="E3742" s="273">
        <f t="shared" si="644"/>
        <v>13.273983628288541</v>
      </c>
      <c r="F3742" s="273">
        <f t="shared" si="645"/>
        <v>3.4346372799038583</v>
      </c>
      <c r="G3742" s="273">
        <f t="shared" si="646"/>
        <v>7.8272235890113011</v>
      </c>
      <c r="H3742" s="273">
        <f t="shared" si="647"/>
        <v>0.17105818741741718</v>
      </c>
      <c r="I3742" s="265"/>
    </row>
    <row r="3743" spans="1:9">
      <c r="A3743" s="285" t="s">
        <v>61</v>
      </c>
      <c r="B3743" s="273">
        <f t="shared" si="641"/>
        <v>7.9405668400733136</v>
      </c>
      <c r="C3743" s="273">
        <f t="shared" si="642"/>
        <v>0.22122221132186215</v>
      </c>
      <c r="D3743" s="273">
        <f t="shared" si="643"/>
        <v>7.1665506969316922E-2</v>
      </c>
      <c r="E3743" s="273">
        <f t="shared" si="644"/>
        <v>10.223795939845829</v>
      </c>
      <c r="F3743" s="273">
        <f t="shared" si="645"/>
        <v>3.6825715740052334</v>
      </c>
      <c r="G3743" s="273">
        <f t="shared" si="646"/>
        <v>7.5710374238586677</v>
      </c>
      <c r="H3743" s="273">
        <f t="shared" si="647"/>
        <v>0.12085728384224596</v>
      </c>
      <c r="I3743" s="265"/>
    </row>
    <row r="3744" spans="1:9">
      <c r="A3744" s="285" t="s">
        <v>73</v>
      </c>
      <c r="B3744" s="273">
        <f t="shared" si="641"/>
        <v>5.8873594875964956</v>
      </c>
      <c r="C3744" s="273">
        <f t="shared" si="642"/>
        <v>0.11186440660962906</v>
      </c>
      <c r="D3744" s="273">
        <f t="shared" si="643"/>
        <v>4.5900060447657279E-2</v>
      </c>
      <c r="E3744" s="273">
        <f t="shared" si="644"/>
        <v>101.43191906755858</v>
      </c>
      <c r="F3744" s="273">
        <f t="shared" si="645"/>
        <v>3.1278854125479492</v>
      </c>
      <c r="G3744" s="273">
        <f t="shared" si="646"/>
        <v>7.6759566648578961</v>
      </c>
      <c r="H3744" s="273">
        <f t="shared" si="647"/>
        <v>8.1498961032398259E-2</v>
      </c>
      <c r="I3744" s="265"/>
    </row>
    <row r="3745" spans="1:9">
      <c r="A3745" s="285" t="s">
        <v>93</v>
      </c>
      <c r="B3745" s="273">
        <f t="shared" si="641"/>
        <v>1.9061833919371085</v>
      </c>
      <c r="C3745" s="273">
        <f t="shared" si="642"/>
        <v>0</v>
      </c>
      <c r="D3745" s="273">
        <f t="shared" si="643"/>
        <v>0</v>
      </c>
      <c r="E3745" s="273">
        <f t="shared" si="644"/>
        <v>0</v>
      </c>
      <c r="F3745" s="273">
        <f t="shared" si="645"/>
        <v>0</v>
      </c>
      <c r="G3745" s="273">
        <f t="shared" si="646"/>
        <v>0</v>
      </c>
      <c r="H3745" s="273">
        <f t="shared" si="647"/>
        <v>0</v>
      </c>
      <c r="I3745" s="265"/>
    </row>
    <row r="3746" spans="1:9">
      <c r="A3746" s="285" t="s">
        <v>94</v>
      </c>
      <c r="B3746" s="273">
        <f t="shared" si="641"/>
        <v>2.3275108499462247</v>
      </c>
      <c r="C3746" s="273">
        <f t="shared" si="642"/>
        <v>0</v>
      </c>
      <c r="D3746" s="273">
        <f t="shared" si="643"/>
        <v>0</v>
      </c>
      <c r="E3746" s="273">
        <f t="shared" si="644"/>
        <v>0</v>
      </c>
      <c r="F3746" s="273">
        <f t="shared" si="645"/>
        <v>0</v>
      </c>
      <c r="G3746" s="273">
        <f t="shared" si="646"/>
        <v>0</v>
      </c>
      <c r="H3746" s="273">
        <f t="shared" si="647"/>
        <v>0</v>
      </c>
      <c r="I3746" s="265"/>
    </row>
    <row r="3747" spans="1:9">
      <c r="A3747" s="285" t="s">
        <v>95</v>
      </c>
      <c r="B3747" s="273">
        <f t="shared" si="641"/>
        <v>3.3169237835605081</v>
      </c>
      <c r="C3747" s="273">
        <f t="shared" si="642"/>
        <v>0</v>
      </c>
      <c r="D3747" s="273">
        <f t="shared" si="643"/>
        <v>0</v>
      </c>
      <c r="E3747" s="273">
        <f t="shared" si="644"/>
        <v>0</v>
      </c>
      <c r="F3747" s="273">
        <f t="shared" si="645"/>
        <v>0</v>
      </c>
      <c r="G3747" s="273">
        <f t="shared" si="646"/>
        <v>0</v>
      </c>
      <c r="H3747" s="273">
        <f t="shared" si="647"/>
        <v>0</v>
      </c>
      <c r="I3747" s="265"/>
    </row>
    <row r="3748" spans="1:9">
      <c r="A3748" s="285" t="s">
        <v>96</v>
      </c>
      <c r="B3748" s="273">
        <f t="shared" si="641"/>
        <v>1.497955527284861</v>
      </c>
      <c r="C3748" s="273">
        <f t="shared" si="642"/>
        <v>0</v>
      </c>
      <c r="D3748" s="273">
        <f t="shared" si="643"/>
        <v>0</v>
      </c>
      <c r="E3748" s="273">
        <f t="shared" si="644"/>
        <v>0</v>
      </c>
      <c r="F3748" s="273">
        <f t="shared" si="645"/>
        <v>0</v>
      </c>
      <c r="G3748" s="273">
        <f t="shared" si="646"/>
        <v>0</v>
      </c>
      <c r="H3748" s="273">
        <f t="shared" si="647"/>
        <v>0</v>
      </c>
      <c r="I3748" s="265"/>
    </row>
    <row r="3749" spans="1:9">
      <c r="A3749" s="285" t="s">
        <v>97</v>
      </c>
      <c r="B3749" s="273">
        <f t="shared" si="641"/>
        <v>36.815073059707053</v>
      </c>
      <c r="C3749" s="273">
        <f t="shared" si="642"/>
        <v>1.5511799139106737</v>
      </c>
      <c r="D3749" s="273">
        <f t="shared" si="643"/>
        <v>1.0827010462764302</v>
      </c>
      <c r="E3749" s="273">
        <f t="shared" si="644"/>
        <v>0</v>
      </c>
      <c r="F3749" s="273">
        <f t="shared" si="645"/>
        <v>0</v>
      </c>
      <c r="G3749" s="273">
        <f t="shared" si="646"/>
        <v>0</v>
      </c>
      <c r="H3749" s="273">
        <f t="shared" si="647"/>
        <v>0</v>
      </c>
      <c r="I3749" s="265"/>
    </row>
    <row r="3750" spans="1:9">
      <c r="A3750" s="285" t="s">
        <v>1176</v>
      </c>
      <c r="B3750" s="273">
        <f t="shared" si="641"/>
        <v>-0.78720381578930099</v>
      </c>
      <c r="C3750" s="273">
        <f t="shared" si="642"/>
        <v>0</v>
      </c>
      <c r="D3750" s="273">
        <f t="shared" si="643"/>
        <v>0</v>
      </c>
      <c r="E3750" s="273">
        <f t="shared" si="644"/>
        <v>0</v>
      </c>
      <c r="F3750" s="273">
        <f t="shared" si="645"/>
        <v>0</v>
      </c>
      <c r="G3750" s="273">
        <f t="shared" si="646"/>
        <v>0</v>
      </c>
      <c r="H3750" s="273">
        <f t="shared" si="647"/>
        <v>0</v>
      </c>
      <c r="I3750" s="265"/>
    </row>
    <row r="3751" spans="1:9">
      <c r="A3751" s="285" t="s">
        <v>62</v>
      </c>
      <c r="B3751" s="273">
        <f t="shared" si="641"/>
        <v>-0.71178708684806646</v>
      </c>
      <c r="C3751" s="273">
        <f t="shared" si="642"/>
        <v>0</v>
      </c>
      <c r="D3751" s="273">
        <f t="shared" si="643"/>
        <v>0</v>
      </c>
      <c r="E3751" s="273">
        <f t="shared" si="644"/>
        <v>0</v>
      </c>
      <c r="F3751" s="273">
        <f t="shared" si="645"/>
        <v>0</v>
      </c>
      <c r="G3751" s="273">
        <f t="shared" si="646"/>
        <v>0</v>
      </c>
      <c r="H3751" s="273">
        <f t="shared" si="647"/>
        <v>0</v>
      </c>
      <c r="I3751" s="265"/>
    </row>
    <row r="3752" spans="1:9">
      <c r="A3752" s="285" t="s">
        <v>63</v>
      </c>
      <c r="B3752" s="273">
        <f t="shared" si="641"/>
        <v>-0.78720381578930099</v>
      </c>
      <c r="C3752" s="273">
        <f t="shared" si="642"/>
        <v>0</v>
      </c>
      <c r="D3752" s="273">
        <f t="shared" si="643"/>
        <v>0</v>
      </c>
      <c r="E3752" s="273">
        <f t="shared" si="644"/>
        <v>0</v>
      </c>
      <c r="F3752" s="273">
        <f t="shared" si="645"/>
        <v>0</v>
      </c>
      <c r="G3752" s="273">
        <f t="shared" si="646"/>
        <v>0</v>
      </c>
      <c r="H3752" s="273">
        <f t="shared" si="647"/>
        <v>0.17037210394937577</v>
      </c>
      <c r="I3752" s="265"/>
    </row>
    <row r="3753" spans="1:9">
      <c r="A3753" s="285" t="s">
        <v>1516</v>
      </c>
      <c r="B3753" s="273">
        <f t="shared" si="641"/>
        <v>-0.78720381578930099</v>
      </c>
      <c r="C3753" s="273">
        <f t="shared" si="642"/>
        <v>0</v>
      </c>
      <c r="D3753" s="273">
        <f t="shared" si="643"/>
        <v>0</v>
      </c>
      <c r="E3753" s="273">
        <f t="shared" si="644"/>
        <v>0</v>
      </c>
      <c r="F3753" s="273">
        <f t="shared" si="645"/>
        <v>0</v>
      </c>
      <c r="G3753" s="273">
        <f t="shared" si="646"/>
        <v>0</v>
      </c>
      <c r="H3753" s="273">
        <f t="shared" si="647"/>
        <v>0</v>
      </c>
      <c r="I3753" s="265"/>
    </row>
    <row r="3754" spans="1:9">
      <c r="A3754" s="285" t="s">
        <v>64</v>
      </c>
      <c r="B3754" s="273">
        <f t="shared" si="641"/>
        <v>-9.6337215953204431</v>
      </c>
      <c r="C3754" s="273">
        <f t="shared" si="642"/>
        <v>-0.39707451714271191</v>
      </c>
      <c r="D3754" s="273">
        <f t="shared" si="643"/>
        <v>-0.10420903556894183</v>
      </c>
      <c r="E3754" s="273">
        <f t="shared" si="644"/>
        <v>0</v>
      </c>
      <c r="F3754" s="273">
        <f t="shared" si="645"/>
        <v>0</v>
      </c>
      <c r="G3754" s="273">
        <f t="shared" si="646"/>
        <v>0</v>
      </c>
      <c r="H3754" s="273">
        <f t="shared" si="647"/>
        <v>0.17037210394937577</v>
      </c>
      <c r="I3754" s="265"/>
    </row>
    <row r="3755" spans="1:9">
      <c r="A3755" s="285" t="s">
        <v>1517</v>
      </c>
      <c r="B3755" s="273">
        <f t="shared" si="641"/>
        <v>-9.6337215953204431</v>
      </c>
      <c r="C3755" s="273">
        <f t="shared" si="642"/>
        <v>-0.39707451714271191</v>
      </c>
      <c r="D3755" s="273">
        <f t="shared" si="643"/>
        <v>-0.10420903556894183</v>
      </c>
      <c r="E3755" s="273">
        <f t="shared" si="644"/>
        <v>0</v>
      </c>
      <c r="F3755" s="273">
        <f t="shared" si="645"/>
        <v>0</v>
      </c>
      <c r="G3755" s="273">
        <f t="shared" si="646"/>
        <v>0</v>
      </c>
      <c r="H3755" s="273">
        <f t="shared" si="647"/>
        <v>0</v>
      </c>
      <c r="I3755" s="265"/>
    </row>
    <row r="3756" spans="1:9">
      <c r="A3756" s="285" t="s">
        <v>65</v>
      </c>
      <c r="B3756" s="273">
        <f t="shared" si="641"/>
        <v>-0.71178708684806646</v>
      </c>
      <c r="C3756" s="273">
        <f t="shared" si="642"/>
        <v>0</v>
      </c>
      <c r="D3756" s="273">
        <f t="shared" si="643"/>
        <v>0</v>
      </c>
      <c r="E3756" s="273">
        <f t="shared" si="644"/>
        <v>0</v>
      </c>
      <c r="F3756" s="273">
        <f t="shared" si="645"/>
        <v>0</v>
      </c>
      <c r="G3756" s="273">
        <f t="shared" si="646"/>
        <v>0</v>
      </c>
      <c r="H3756" s="273">
        <f t="shared" si="647"/>
        <v>0.14241131915085636</v>
      </c>
      <c r="I3756" s="265"/>
    </row>
    <row r="3757" spans="1:9">
      <c r="A3757" s="285" t="s">
        <v>1518</v>
      </c>
      <c r="B3757" s="273">
        <f t="shared" si="641"/>
        <v>-0.71178708684806646</v>
      </c>
      <c r="C3757" s="273">
        <f t="shared" si="642"/>
        <v>0</v>
      </c>
      <c r="D3757" s="273">
        <f t="shared" si="643"/>
        <v>0</v>
      </c>
      <c r="E3757" s="273">
        <f t="shared" si="644"/>
        <v>0</v>
      </c>
      <c r="F3757" s="273">
        <f t="shared" si="645"/>
        <v>0</v>
      </c>
      <c r="G3757" s="273">
        <f t="shared" si="646"/>
        <v>0</v>
      </c>
      <c r="H3757" s="273">
        <f t="shared" si="647"/>
        <v>0</v>
      </c>
      <c r="I3757" s="265"/>
    </row>
    <row r="3758" spans="1:9">
      <c r="A3758" s="285" t="s">
        <v>66</v>
      </c>
      <c r="B3758" s="273">
        <f t="shared" si="641"/>
        <v>-8.8505101466710254</v>
      </c>
      <c r="C3758" s="273">
        <f t="shared" si="642"/>
        <v>-0.34032053417271535</v>
      </c>
      <c r="D3758" s="273">
        <f t="shared" si="643"/>
        <v>-9.2454039327483251E-2</v>
      </c>
      <c r="E3758" s="273">
        <f t="shared" si="644"/>
        <v>0</v>
      </c>
      <c r="F3758" s="273">
        <f t="shared" si="645"/>
        <v>0</v>
      </c>
      <c r="G3758" s="273">
        <f t="shared" si="646"/>
        <v>0</v>
      </c>
      <c r="H3758" s="273">
        <f t="shared" si="647"/>
        <v>0.14241131915085636</v>
      </c>
      <c r="I3758" s="265"/>
    </row>
    <row r="3759" spans="1:9">
      <c r="A3759" s="285" t="s">
        <v>1519</v>
      </c>
      <c r="B3759" s="273">
        <f t="shared" si="641"/>
        <v>-8.8505101466710254</v>
      </c>
      <c r="C3759" s="273">
        <f t="shared" si="642"/>
        <v>-0.34032053417271535</v>
      </c>
      <c r="D3759" s="273">
        <f t="shared" si="643"/>
        <v>-9.2454039327483251E-2</v>
      </c>
      <c r="E3759" s="273">
        <f t="shared" si="644"/>
        <v>0</v>
      </c>
      <c r="F3759" s="273">
        <f t="shared" si="645"/>
        <v>0</v>
      </c>
      <c r="G3759" s="273">
        <f t="shared" si="646"/>
        <v>0</v>
      </c>
      <c r="H3759" s="273">
        <f t="shared" si="647"/>
        <v>0</v>
      </c>
      <c r="I3759" s="265"/>
    </row>
    <row r="3760" spans="1:9">
      <c r="A3760" s="285" t="s">
        <v>74</v>
      </c>
      <c r="B3760" s="273">
        <f t="shared" si="641"/>
        <v>-0.45356433543398189</v>
      </c>
      <c r="C3760" s="273">
        <f t="shared" si="642"/>
        <v>0</v>
      </c>
      <c r="D3760" s="273">
        <f t="shared" si="643"/>
        <v>0</v>
      </c>
      <c r="E3760" s="273">
        <f t="shared" si="644"/>
        <v>48.903754666808268</v>
      </c>
      <c r="F3760" s="273">
        <f t="shared" si="645"/>
        <v>0</v>
      </c>
      <c r="G3760" s="273">
        <f t="shared" si="646"/>
        <v>0</v>
      </c>
      <c r="H3760" s="273">
        <f t="shared" si="647"/>
        <v>0.1090711440424775</v>
      </c>
      <c r="I3760" s="265"/>
    </row>
    <row r="3761" spans="1:9">
      <c r="A3761" s="285" t="s">
        <v>1520</v>
      </c>
      <c r="B3761" s="273">
        <f t="shared" si="641"/>
        <v>-0.45356433543398189</v>
      </c>
      <c r="C3761" s="273">
        <f t="shared" si="642"/>
        <v>0</v>
      </c>
      <c r="D3761" s="273">
        <f t="shared" si="643"/>
        <v>0</v>
      </c>
      <c r="E3761" s="273">
        <f t="shared" si="644"/>
        <v>48.903754666808268</v>
      </c>
      <c r="F3761" s="273">
        <f t="shared" si="645"/>
        <v>0</v>
      </c>
      <c r="G3761" s="273">
        <f t="shared" si="646"/>
        <v>0</v>
      </c>
      <c r="H3761" s="273">
        <f t="shared" si="647"/>
        <v>0</v>
      </c>
      <c r="I3761" s="265"/>
    </row>
    <row r="3762" spans="1:9">
      <c r="A3762" s="285" t="s">
        <v>75</v>
      </c>
      <c r="B3762" s="273">
        <f t="shared" si="641"/>
        <v>-6.1568097408153033</v>
      </c>
      <c r="C3762" s="273">
        <f t="shared" si="642"/>
        <v>-0.14787596416559548</v>
      </c>
      <c r="D3762" s="273">
        <f t="shared" si="643"/>
        <v>-5.2166056134706255E-2</v>
      </c>
      <c r="E3762" s="273">
        <f t="shared" si="644"/>
        <v>48.903754666808268</v>
      </c>
      <c r="F3762" s="273">
        <f t="shared" si="645"/>
        <v>0</v>
      </c>
      <c r="G3762" s="273">
        <f t="shared" si="646"/>
        <v>0</v>
      </c>
      <c r="H3762" s="273">
        <f t="shared" si="647"/>
        <v>0.1090711440424775</v>
      </c>
      <c r="I3762" s="265"/>
    </row>
    <row r="3763" spans="1:9">
      <c r="A3763" s="285" t="s">
        <v>1521</v>
      </c>
      <c r="B3763" s="273">
        <f t="shared" si="641"/>
        <v>-6.1568097408153033</v>
      </c>
      <c r="C3763" s="273">
        <f t="shared" si="642"/>
        <v>-0.14787596416559548</v>
      </c>
      <c r="D3763" s="273">
        <f t="shared" si="643"/>
        <v>-5.2166056134706255E-2</v>
      </c>
      <c r="E3763" s="273">
        <f t="shared" si="644"/>
        <v>48.903754666808268</v>
      </c>
      <c r="F3763" s="273">
        <f t="shared" si="645"/>
        <v>0</v>
      </c>
      <c r="G3763" s="273">
        <f t="shared" si="646"/>
        <v>0</v>
      </c>
      <c r="H3763" s="273">
        <f t="shared" si="647"/>
        <v>0</v>
      </c>
      <c r="I3763" s="265"/>
    </row>
    <row r="3765" spans="1:9" ht="21" customHeight="1">
      <c r="A3765" s="1" t="str">
        <f>"Revenue shortfall or surplus for "&amp;CDCM!B7&amp;" in "&amp;CDCM!C7&amp;" ("&amp;CDCM!D7&amp;")"</f>
        <v>Revenue shortfall or surplus for 0 in 0 (0)</v>
      </c>
    </row>
    <row r="3767" spans="1:9" ht="21" customHeight="1">
      <c r="A3767" s="1" t="s">
        <v>721</v>
      </c>
    </row>
    <row r="3768" spans="1:9">
      <c r="A3768" s="264" t="s">
        <v>217</v>
      </c>
    </row>
    <row r="3769" spans="1:9">
      <c r="A3769" s="269" t="s">
        <v>338</v>
      </c>
    </row>
    <row r="3770" spans="1:9">
      <c r="A3770" s="269" t="s">
        <v>1589</v>
      </c>
    </row>
    <row r="3771" spans="1:9">
      <c r="A3771" s="269" t="s">
        <v>722</v>
      </c>
    </row>
    <row r="3772" spans="1:9">
      <c r="A3772" s="269" t="s">
        <v>1590</v>
      </c>
    </row>
    <row r="3773" spans="1:9">
      <c r="A3773" s="269" t="s">
        <v>723</v>
      </c>
    </row>
    <row r="3774" spans="1:9">
      <c r="A3774" s="269" t="s">
        <v>1591</v>
      </c>
    </row>
    <row r="3775" spans="1:9">
      <c r="A3775" s="269" t="s">
        <v>1592</v>
      </c>
    </row>
    <row r="3776" spans="1:9">
      <c r="A3776" s="269" t="s">
        <v>1593</v>
      </c>
    </row>
    <row r="3777" spans="1:3">
      <c r="A3777" s="269" t="s">
        <v>1594</v>
      </c>
    </row>
    <row r="3778" spans="1:3">
      <c r="A3778" s="269" t="s">
        <v>1595</v>
      </c>
    </row>
    <row r="3779" spans="1:3">
      <c r="A3779" s="269" t="s">
        <v>1596</v>
      </c>
    </row>
    <row r="3780" spans="1:3">
      <c r="A3780" s="269" t="s">
        <v>1597</v>
      </c>
    </row>
    <row r="3781" spans="1:3">
      <c r="A3781" s="269" t="s">
        <v>1598</v>
      </c>
    </row>
    <row r="3782" spans="1:3">
      <c r="A3782" s="269" t="s">
        <v>1599</v>
      </c>
    </row>
    <row r="3783" spans="1:3">
      <c r="A3783" s="269" t="s">
        <v>1600</v>
      </c>
    </row>
    <row r="3784" spans="1:3">
      <c r="A3784" s="264" t="s">
        <v>1601</v>
      </c>
    </row>
    <row r="3786" spans="1:3">
      <c r="B3786" s="284" t="s">
        <v>727</v>
      </c>
    </row>
    <row r="3787" spans="1:3">
      <c r="A3787" s="285" t="s">
        <v>54</v>
      </c>
      <c r="B3787" s="275">
        <f t="shared" ref="B3787:B3819" si="648">0.01*F$14*(E3731*E1268+F3731*F1268+G3731*G1268)+10*(B3731*B1268+C3731*C1268+D3731*D1268+H3731*H1268)</f>
        <v>95883074.361002177</v>
      </c>
      <c r="C3787" s="265"/>
    </row>
    <row r="3788" spans="1:3">
      <c r="A3788" s="285" t="s">
        <v>55</v>
      </c>
      <c r="B3788" s="275">
        <f t="shared" si="648"/>
        <v>17641425.993084282</v>
      </c>
      <c r="C3788" s="265"/>
    </row>
    <row r="3789" spans="1:3">
      <c r="A3789" s="285" t="s">
        <v>91</v>
      </c>
      <c r="B3789" s="275">
        <f t="shared" si="648"/>
        <v>68424.32592518485</v>
      </c>
      <c r="C3789" s="265"/>
    </row>
    <row r="3790" spans="1:3">
      <c r="A3790" s="285" t="s">
        <v>56</v>
      </c>
      <c r="B3790" s="275">
        <f t="shared" si="648"/>
        <v>19498908.864458546</v>
      </c>
      <c r="C3790" s="265"/>
    </row>
    <row r="3791" spans="1:3">
      <c r="A3791" s="285" t="s">
        <v>57</v>
      </c>
      <c r="B3791" s="275">
        <f t="shared" si="648"/>
        <v>7453532.7440136187</v>
      </c>
      <c r="C3791" s="265"/>
    </row>
    <row r="3792" spans="1:3">
      <c r="A3792" s="285" t="s">
        <v>92</v>
      </c>
      <c r="B3792" s="275">
        <f t="shared" si="648"/>
        <v>27304.558293630602</v>
      </c>
      <c r="C3792" s="265"/>
    </row>
    <row r="3793" spans="1:3">
      <c r="A3793" s="285" t="s">
        <v>58</v>
      </c>
      <c r="B3793" s="275">
        <f t="shared" si="648"/>
        <v>1.3186596520997428E-2</v>
      </c>
      <c r="C3793" s="265"/>
    </row>
    <row r="3794" spans="1:3">
      <c r="A3794" s="285" t="s">
        <v>59</v>
      </c>
      <c r="B3794" s="275">
        <f t="shared" si="648"/>
        <v>1.0934940277504957E-2</v>
      </c>
      <c r="C3794" s="265"/>
    </row>
    <row r="3795" spans="1:3">
      <c r="A3795" s="285" t="s">
        <v>72</v>
      </c>
      <c r="B3795" s="275">
        <f t="shared" si="648"/>
        <v>1.2186317272546347E-2</v>
      </c>
      <c r="C3795" s="265"/>
    </row>
    <row r="3796" spans="1:3">
      <c r="A3796" s="285" t="s">
        <v>1178</v>
      </c>
      <c r="B3796" s="275">
        <f t="shared" si="648"/>
        <v>5.3605366999484945</v>
      </c>
      <c r="C3796" s="265"/>
    </row>
    <row r="3797" spans="1:3">
      <c r="A3797" s="285" t="s">
        <v>1177</v>
      </c>
      <c r="B3797" s="275">
        <f t="shared" si="648"/>
        <v>5616053.1058384087</v>
      </c>
      <c r="C3797" s="265"/>
    </row>
    <row r="3798" spans="1:3">
      <c r="A3798" s="285" t="s">
        <v>60</v>
      </c>
      <c r="B3798" s="275">
        <f t="shared" si="648"/>
        <v>21335009.609310009</v>
      </c>
      <c r="C3798" s="265"/>
    </row>
    <row r="3799" spans="1:3">
      <c r="A3799" s="285" t="s">
        <v>61</v>
      </c>
      <c r="B3799" s="275">
        <f t="shared" si="648"/>
        <v>10224435.404445376</v>
      </c>
      <c r="C3799" s="265"/>
    </row>
    <row r="3800" spans="1:3">
      <c r="A3800" s="285" t="s">
        <v>73</v>
      </c>
      <c r="B3800" s="275">
        <f t="shared" si="648"/>
        <v>21631739.275776036</v>
      </c>
      <c r="C3800" s="265"/>
    </row>
    <row r="3801" spans="1:3">
      <c r="A3801" s="285" t="s">
        <v>93</v>
      </c>
      <c r="B3801" s="275">
        <f t="shared" si="648"/>
        <v>194748.58739651862</v>
      </c>
      <c r="C3801" s="265"/>
    </row>
    <row r="3802" spans="1:3">
      <c r="A3802" s="285" t="s">
        <v>94</v>
      </c>
      <c r="B3802" s="275">
        <f t="shared" si="648"/>
        <v>183298.60535336015</v>
      </c>
      <c r="C3802" s="265"/>
    </row>
    <row r="3803" spans="1:3">
      <c r="A3803" s="285" t="s">
        <v>95</v>
      </c>
      <c r="B3803" s="275">
        <f t="shared" si="648"/>
        <v>32955.228129901341</v>
      </c>
      <c r="C3803" s="265"/>
    </row>
    <row r="3804" spans="1:3">
      <c r="A3804" s="285" t="s">
        <v>96</v>
      </c>
      <c r="B3804" s="275">
        <f t="shared" si="648"/>
        <v>0</v>
      </c>
      <c r="C3804" s="265"/>
    </row>
    <row r="3805" spans="1:3">
      <c r="A3805" s="285" t="s">
        <v>97</v>
      </c>
      <c r="B3805" s="275">
        <f t="shared" si="648"/>
        <v>2834145.9366175616</v>
      </c>
      <c r="C3805" s="265"/>
    </row>
    <row r="3806" spans="1:3">
      <c r="A3806" s="285" t="s">
        <v>1176</v>
      </c>
      <c r="B3806" s="275">
        <f t="shared" si="648"/>
        <v>-26352.858046384044</v>
      </c>
      <c r="C3806" s="265"/>
    </row>
    <row r="3807" spans="1:3">
      <c r="A3807" s="285" t="s">
        <v>62</v>
      </c>
      <c r="B3807" s="275">
        <f t="shared" si="648"/>
        <v>-655.37694150076959</v>
      </c>
      <c r="C3807" s="265"/>
    </row>
    <row r="3808" spans="1:3">
      <c r="A3808" s="285" t="s">
        <v>63</v>
      </c>
      <c r="B3808" s="275">
        <f t="shared" si="648"/>
        <v>-616678.55473596824</v>
      </c>
      <c r="C3808" s="265"/>
    </row>
    <row r="3809" spans="1:3">
      <c r="A3809" s="285" t="s">
        <v>1516</v>
      </c>
      <c r="B3809" s="275">
        <f t="shared" si="648"/>
        <v>0</v>
      </c>
      <c r="C3809" s="265"/>
    </row>
    <row r="3810" spans="1:3">
      <c r="A3810" s="285" t="s">
        <v>64</v>
      </c>
      <c r="B3810" s="275">
        <f t="shared" si="648"/>
        <v>-18368.119625869229</v>
      </c>
      <c r="C3810" s="265"/>
    </row>
    <row r="3811" spans="1:3">
      <c r="A3811" s="285" t="s">
        <v>1517</v>
      </c>
      <c r="B3811" s="275">
        <f t="shared" si="648"/>
        <v>0</v>
      </c>
      <c r="C3811" s="265"/>
    </row>
    <row r="3812" spans="1:3">
      <c r="A3812" s="285" t="s">
        <v>65</v>
      </c>
      <c r="B3812" s="275">
        <f t="shared" si="648"/>
        <v>-90497.283034886292</v>
      </c>
      <c r="C3812" s="265"/>
    </row>
    <row r="3813" spans="1:3">
      <c r="A3813" s="285" t="s">
        <v>1518</v>
      </c>
      <c r="B3813" s="275">
        <f t="shared" si="648"/>
        <v>0</v>
      </c>
      <c r="C3813" s="265"/>
    </row>
    <row r="3814" spans="1:3">
      <c r="A3814" s="285" t="s">
        <v>66</v>
      </c>
      <c r="B3814" s="275">
        <f t="shared" si="648"/>
        <v>-29444.9835637551</v>
      </c>
      <c r="C3814" s="265"/>
    </row>
    <row r="3815" spans="1:3">
      <c r="A3815" s="285" t="s">
        <v>1519</v>
      </c>
      <c r="B3815" s="275">
        <f t="shared" si="648"/>
        <v>0</v>
      </c>
      <c r="C3815" s="265"/>
    </row>
    <row r="3816" spans="1:3">
      <c r="A3816" s="285" t="s">
        <v>74</v>
      </c>
      <c r="B3816" s="275">
        <f t="shared" si="648"/>
        <v>-1807592.2397433198</v>
      </c>
      <c r="C3816" s="265"/>
    </row>
    <row r="3817" spans="1:3">
      <c r="A3817" s="285" t="s">
        <v>1520</v>
      </c>
      <c r="B3817" s="275">
        <f t="shared" si="648"/>
        <v>0</v>
      </c>
      <c r="C3817" s="265"/>
    </row>
    <row r="3818" spans="1:3">
      <c r="A3818" s="285" t="s">
        <v>75</v>
      </c>
      <c r="B3818" s="275">
        <f t="shared" si="648"/>
        <v>-1316065.9468975223</v>
      </c>
      <c r="C3818" s="265"/>
    </row>
    <row r="3819" spans="1:3">
      <c r="A3819" s="285" t="s">
        <v>1521</v>
      </c>
      <c r="B3819" s="275">
        <f t="shared" si="648"/>
        <v>0</v>
      </c>
      <c r="C3819" s="265"/>
    </row>
    <row r="3821" spans="1:3" ht="21" customHeight="1">
      <c r="A3821" s="1" t="s">
        <v>1745</v>
      </c>
    </row>
    <row r="3822" spans="1:3">
      <c r="A3822" s="264" t="s">
        <v>217</v>
      </c>
    </row>
    <row r="3823" spans="1:3">
      <c r="A3823" s="269" t="s">
        <v>728</v>
      </c>
    </row>
    <row r="3824" spans="1:3">
      <c r="A3824" s="269" t="s">
        <v>1746</v>
      </c>
    </row>
    <row r="3825" spans="1:4">
      <c r="A3825" s="269" t="s">
        <v>729</v>
      </c>
    </row>
    <row r="3826" spans="1:4">
      <c r="A3826" s="270" t="s">
        <v>220</v>
      </c>
      <c r="B3826" s="270" t="s">
        <v>343</v>
      </c>
      <c r="C3826" s="270" t="s">
        <v>342</v>
      </c>
    </row>
    <row r="3827" spans="1:4">
      <c r="A3827" s="270" t="s">
        <v>223</v>
      </c>
      <c r="B3827" s="270" t="s">
        <v>391</v>
      </c>
      <c r="C3827" s="270" t="s">
        <v>730</v>
      </c>
    </row>
    <row r="3829" spans="1:4" ht="30">
      <c r="B3829" s="284" t="s">
        <v>731</v>
      </c>
      <c r="C3829" s="284" t="s">
        <v>732</v>
      </c>
    </row>
    <row r="3830" spans="1:4">
      <c r="A3830" s="285" t="s">
        <v>733</v>
      </c>
      <c r="B3830" s="275">
        <f>SUM(B$3787:B$3819)</f>
        <v>198719406.63389996</v>
      </c>
      <c r="C3830" s="275">
        <f>B343-B3830</f>
        <v>177415891.37337866</v>
      </c>
      <c r="D3830" s="265"/>
    </row>
    <row r="3832" spans="1:4" ht="21" customHeight="1">
      <c r="A3832" s="1" t="str">
        <f>"Adder for "&amp;CDCM!B7&amp;" in "&amp;CDCM!C7&amp;" ("&amp;CDCM!D7&amp;")"</f>
        <v>Adder for 0 in 0 (0)</v>
      </c>
    </row>
    <row r="3834" spans="1:4" ht="21" customHeight="1">
      <c r="A3834" s="1" t="s">
        <v>1602</v>
      </c>
    </row>
    <row r="3835" spans="1:4">
      <c r="A3835" s="264" t="s">
        <v>217</v>
      </c>
    </row>
    <row r="3836" spans="1:4">
      <c r="A3836" s="269" t="s">
        <v>1603</v>
      </c>
    </row>
    <row r="3837" spans="1:4">
      <c r="A3837" s="269" t="s">
        <v>1604</v>
      </c>
    </row>
    <row r="3838" spans="1:4">
      <c r="A3838" s="269" t="s">
        <v>1605</v>
      </c>
    </row>
    <row r="3839" spans="1:4">
      <c r="A3839" s="270" t="s">
        <v>220</v>
      </c>
      <c r="B3839" s="270" t="s">
        <v>342</v>
      </c>
      <c r="C3839" s="270" t="s">
        <v>342</v>
      </c>
      <c r="D3839" s="270" t="s">
        <v>342</v>
      </c>
    </row>
    <row r="3840" spans="1:4">
      <c r="A3840" s="270" t="s">
        <v>223</v>
      </c>
      <c r="B3840" s="270" t="s">
        <v>1606</v>
      </c>
      <c r="C3840" s="270" t="s">
        <v>1607</v>
      </c>
      <c r="D3840" s="270" t="s">
        <v>1608</v>
      </c>
    </row>
    <row r="3842" spans="1:5" ht="30">
      <c r="B3842" s="284" t="s">
        <v>1609</v>
      </c>
      <c r="C3842" s="284" t="s">
        <v>1610</v>
      </c>
      <c r="D3842" s="284" t="s">
        <v>1611</v>
      </c>
    </row>
    <row r="3843" spans="1:5">
      <c r="A3843" s="285" t="s">
        <v>54</v>
      </c>
      <c r="B3843" s="273">
        <f t="shared" ref="B3843:C3858" si="649">0-B3731</f>
        <v>-1.5974130739631409</v>
      </c>
      <c r="C3843" s="291"/>
      <c r="D3843" s="291"/>
      <c r="E3843" s="265"/>
    </row>
    <row r="3844" spans="1:5">
      <c r="A3844" s="285" t="s">
        <v>55</v>
      </c>
      <c r="B3844" s="273">
        <f t="shared" si="649"/>
        <v>-1.981279747087924</v>
      </c>
      <c r="C3844" s="273">
        <f>0-C3732</f>
        <v>-0.16992123025572173</v>
      </c>
      <c r="D3844" s="291"/>
      <c r="E3844" s="265"/>
    </row>
    <row r="3845" spans="1:5">
      <c r="A3845" s="285" t="s">
        <v>91</v>
      </c>
      <c r="B3845" s="273">
        <f t="shared" si="649"/>
        <v>-0.14887893845380923</v>
      </c>
      <c r="C3845" s="291"/>
      <c r="D3845" s="291"/>
      <c r="E3845" s="265"/>
    </row>
    <row r="3846" spans="1:5">
      <c r="A3846" s="285" t="s">
        <v>56</v>
      </c>
      <c r="B3846" s="273">
        <f t="shared" si="649"/>
        <v>-1.3282779490351984</v>
      </c>
      <c r="C3846" s="291"/>
      <c r="D3846" s="291"/>
      <c r="E3846" s="265"/>
    </row>
    <row r="3847" spans="1:5">
      <c r="A3847" s="285" t="s">
        <v>57</v>
      </c>
      <c r="B3847" s="273">
        <f t="shared" si="649"/>
        <v>-1.5555963935593731</v>
      </c>
      <c r="C3847" s="273">
        <f>0-C3735</f>
        <v>-0.16395019437015651</v>
      </c>
      <c r="D3847" s="291"/>
      <c r="E3847" s="265"/>
    </row>
    <row r="3848" spans="1:5">
      <c r="A3848" s="285" t="s">
        <v>92</v>
      </c>
      <c r="B3848" s="273">
        <f t="shared" si="649"/>
        <v>-0.15764920833940255</v>
      </c>
      <c r="C3848" s="291"/>
      <c r="D3848" s="291"/>
      <c r="E3848" s="265"/>
    </row>
    <row r="3849" spans="1:5">
      <c r="A3849" s="285" t="s">
        <v>58</v>
      </c>
      <c r="B3849" s="273">
        <f t="shared" si="649"/>
        <v>-1.3955325154428646</v>
      </c>
      <c r="C3849" s="273">
        <f t="shared" si="649"/>
        <v>-0.13508531590967113</v>
      </c>
      <c r="D3849" s="291"/>
      <c r="E3849" s="265"/>
    </row>
    <row r="3850" spans="1:5">
      <c r="A3850" s="285" t="s">
        <v>59</v>
      </c>
      <c r="B3850" s="273">
        <f t="shared" si="649"/>
        <v>-1.2518726071588753</v>
      </c>
      <c r="C3850" s="273">
        <f t="shared" si="649"/>
        <v>-0.12019274783534691</v>
      </c>
      <c r="D3850" s="291"/>
      <c r="E3850" s="265"/>
    </row>
    <row r="3851" spans="1:5">
      <c r="A3851" s="285" t="s">
        <v>72</v>
      </c>
      <c r="B3851" s="273">
        <f t="shared" si="649"/>
        <v>-0.73772845925437436</v>
      </c>
      <c r="C3851" s="273">
        <f t="shared" si="649"/>
        <v>-5.9619450949563994E-2</v>
      </c>
      <c r="D3851" s="291"/>
      <c r="E3851" s="265"/>
    </row>
    <row r="3852" spans="1:5">
      <c r="A3852" s="285" t="s">
        <v>1178</v>
      </c>
      <c r="B3852" s="273">
        <f t="shared" si="649"/>
        <v>-14.274986486546482</v>
      </c>
      <c r="C3852" s="273">
        <f t="shared" si="649"/>
        <v>-0.5883626595058159</v>
      </c>
      <c r="D3852" s="273">
        <f>0-D3740</f>
        <v>-0.15441312704351895</v>
      </c>
      <c r="E3852" s="265"/>
    </row>
    <row r="3853" spans="1:5">
      <c r="A3853" s="285" t="s">
        <v>1177</v>
      </c>
      <c r="B3853" s="273">
        <f t="shared" si="649"/>
        <v>-14.55739952578163</v>
      </c>
      <c r="C3853" s="273">
        <f t="shared" si="649"/>
        <v>-0.60006223447784168</v>
      </c>
      <c r="D3853" s="273">
        <f>0-D3741</f>
        <v>-0.15747347968875935</v>
      </c>
      <c r="E3853" s="265"/>
    </row>
    <row r="3854" spans="1:5">
      <c r="A3854" s="285" t="s">
        <v>60</v>
      </c>
      <c r="B3854" s="273">
        <f t="shared" si="649"/>
        <v>-10.234651488932164</v>
      </c>
      <c r="C3854" s="273">
        <f t="shared" si="649"/>
        <v>-0.37568768282311654</v>
      </c>
      <c r="D3854" s="273">
        <f>0-D3742</f>
        <v>-0.10451768300838116</v>
      </c>
      <c r="E3854" s="265"/>
    </row>
    <row r="3855" spans="1:5">
      <c r="A3855" s="285" t="s">
        <v>61</v>
      </c>
      <c r="B3855" s="273">
        <f t="shared" si="649"/>
        <v>-7.9405668400733136</v>
      </c>
      <c r="C3855" s="273">
        <f t="shared" si="649"/>
        <v>-0.22122221132186215</v>
      </c>
      <c r="D3855" s="273">
        <f>0-D3743</f>
        <v>-7.1665506969316922E-2</v>
      </c>
      <c r="E3855" s="265"/>
    </row>
    <row r="3856" spans="1:5">
      <c r="A3856" s="285" t="s">
        <v>73</v>
      </c>
      <c r="B3856" s="273">
        <f t="shared" si="649"/>
        <v>-5.8873594875964956</v>
      </c>
      <c r="C3856" s="273">
        <f t="shared" si="649"/>
        <v>-0.11186440660962906</v>
      </c>
      <c r="D3856" s="273">
        <f>0-D3744</f>
        <v>-4.5900060447657279E-2</v>
      </c>
      <c r="E3856" s="265"/>
    </row>
    <row r="3857" spans="1:5">
      <c r="A3857" s="285" t="s">
        <v>93</v>
      </c>
      <c r="B3857" s="273">
        <f t="shared" si="649"/>
        <v>-1.9061833919371085</v>
      </c>
      <c r="C3857" s="291"/>
      <c r="D3857" s="291"/>
      <c r="E3857" s="265"/>
    </row>
    <row r="3858" spans="1:5">
      <c r="A3858" s="285" t="s">
        <v>94</v>
      </c>
      <c r="B3858" s="273">
        <f t="shared" si="649"/>
        <v>-2.3275108499462247</v>
      </c>
      <c r="C3858" s="291"/>
      <c r="D3858" s="291"/>
      <c r="E3858" s="265"/>
    </row>
    <row r="3859" spans="1:5">
      <c r="A3859" s="285" t="s">
        <v>95</v>
      </c>
      <c r="B3859" s="273">
        <f t="shared" ref="B3859:B3875" si="650">0-B3747</f>
        <v>-3.3169237835605081</v>
      </c>
      <c r="C3859" s="291"/>
      <c r="D3859" s="291"/>
      <c r="E3859" s="265"/>
    </row>
    <row r="3860" spans="1:5">
      <c r="A3860" s="285" t="s">
        <v>96</v>
      </c>
      <c r="B3860" s="273">
        <f t="shared" si="650"/>
        <v>-1.497955527284861</v>
      </c>
      <c r="C3860" s="291"/>
      <c r="D3860" s="291"/>
      <c r="E3860" s="265"/>
    </row>
    <row r="3861" spans="1:5">
      <c r="A3861" s="285" t="s">
        <v>97</v>
      </c>
      <c r="B3861" s="273">
        <f t="shared" si="650"/>
        <v>-36.815073059707053</v>
      </c>
      <c r="C3861" s="273">
        <f>0-C3749</f>
        <v>-1.5511799139106737</v>
      </c>
      <c r="D3861" s="273">
        <f>0-D3749</f>
        <v>-1.0827010462764302</v>
      </c>
      <c r="E3861" s="265"/>
    </row>
    <row r="3862" spans="1:5">
      <c r="A3862" s="285" t="s">
        <v>1176</v>
      </c>
      <c r="B3862" s="273">
        <f t="shared" si="650"/>
        <v>0.78720381578930099</v>
      </c>
      <c r="C3862" s="291"/>
      <c r="D3862" s="291"/>
      <c r="E3862" s="265"/>
    </row>
    <row r="3863" spans="1:5">
      <c r="A3863" s="285" t="s">
        <v>62</v>
      </c>
      <c r="B3863" s="273">
        <f t="shared" si="650"/>
        <v>0.71178708684806646</v>
      </c>
      <c r="C3863" s="291"/>
      <c r="D3863" s="291"/>
      <c r="E3863" s="265"/>
    </row>
    <row r="3864" spans="1:5">
      <c r="A3864" s="285" t="s">
        <v>63</v>
      </c>
      <c r="B3864" s="273">
        <f t="shared" si="650"/>
        <v>0.78720381578930099</v>
      </c>
      <c r="C3864" s="291"/>
      <c r="D3864" s="291"/>
      <c r="E3864" s="265"/>
    </row>
    <row r="3865" spans="1:5">
      <c r="A3865" s="285" t="s">
        <v>1516</v>
      </c>
      <c r="B3865" s="273">
        <f t="shared" si="650"/>
        <v>0.78720381578930099</v>
      </c>
      <c r="C3865" s="291"/>
      <c r="D3865" s="291"/>
      <c r="E3865" s="265"/>
    </row>
    <row r="3866" spans="1:5">
      <c r="A3866" s="285" t="s">
        <v>64</v>
      </c>
      <c r="B3866" s="273">
        <f t="shared" si="650"/>
        <v>9.6337215953204431</v>
      </c>
      <c r="C3866" s="273">
        <f>0-C3754</f>
        <v>0.39707451714271191</v>
      </c>
      <c r="D3866" s="273">
        <f>0-D3754</f>
        <v>0.10420903556894183</v>
      </c>
      <c r="E3866" s="265"/>
    </row>
    <row r="3867" spans="1:5">
      <c r="A3867" s="285" t="s">
        <v>1517</v>
      </c>
      <c r="B3867" s="273">
        <f t="shared" si="650"/>
        <v>9.6337215953204431</v>
      </c>
      <c r="C3867" s="273">
        <f>0-C3755</f>
        <v>0.39707451714271191</v>
      </c>
      <c r="D3867" s="273">
        <f>0-D3755</f>
        <v>0.10420903556894183</v>
      </c>
      <c r="E3867" s="265"/>
    </row>
    <row r="3868" spans="1:5">
      <c r="A3868" s="285" t="s">
        <v>65</v>
      </c>
      <c r="B3868" s="273">
        <f t="shared" si="650"/>
        <v>0.71178708684806646</v>
      </c>
      <c r="C3868" s="291"/>
      <c r="D3868" s="291"/>
      <c r="E3868" s="265"/>
    </row>
    <row r="3869" spans="1:5">
      <c r="A3869" s="285" t="s">
        <v>1518</v>
      </c>
      <c r="B3869" s="273">
        <f t="shared" si="650"/>
        <v>0.71178708684806646</v>
      </c>
      <c r="C3869" s="291"/>
      <c r="D3869" s="291"/>
      <c r="E3869" s="265"/>
    </row>
    <row r="3870" spans="1:5">
      <c r="A3870" s="285" t="s">
        <v>66</v>
      </c>
      <c r="B3870" s="273">
        <f t="shared" si="650"/>
        <v>8.8505101466710254</v>
      </c>
      <c r="C3870" s="273">
        <f>0-C3758</f>
        <v>0.34032053417271535</v>
      </c>
      <c r="D3870" s="273">
        <f>0-D3758</f>
        <v>9.2454039327483251E-2</v>
      </c>
      <c r="E3870" s="265"/>
    </row>
    <row r="3871" spans="1:5">
      <c r="A3871" s="285" t="s">
        <v>1519</v>
      </c>
      <c r="B3871" s="273">
        <f t="shared" si="650"/>
        <v>8.8505101466710254</v>
      </c>
      <c r="C3871" s="273">
        <f>0-C3759</f>
        <v>0.34032053417271535</v>
      </c>
      <c r="D3871" s="273">
        <f>0-D3759</f>
        <v>9.2454039327483251E-2</v>
      </c>
      <c r="E3871" s="265"/>
    </row>
    <row r="3872" spans="1:5">
      <c r="A3872" s="285" t="s">
        <v>74</v>
      </c>
      <c r="B3872" s="273">
        <f t="shared" si="650"/>
        <v>0.45356433543398189</v>
      </c>
      <c r="C3872" s="291"/>
      <c r="D3872" s="291"/>
      <c r="E3872" s="265"/>
    </row>
    <row r="3873" spans="1:5">
      <c r="A3873" s="285" t="s">
        <v>1520</v>
      </c>
      <c r="B3873" s="273">
        <f t="shared" si="650"/>
        <v>0.45356433543398189</v>
      </c>
      <c r="C3873" s="291"/>
      <c r="D3873" s="291"/>
      <c r="E3873" s="265"/>
    </row>
    <row r="3874" spans="1:5">
      <c r="A3874" s="285" t="s">
        <v>75</v>
      </c>
      <c r="B3874" s="273">
        <f t="shared" si="650"/>
        <v>6.1568097408153033</v>
      </c>
      <c r="C3874" s="273">
        <f>0-C3762</f>
        <v>0.14787596416559548</v>
      </c>
      <c r="D3874" s="273">
        <f>0-D3762</f>
        <v>5.2166056134706255E-2</v>
      </c>
      <c r="E3874" s="265"/>
    </row>
    <row r="3875" spans="1:5">
      <c r="A3875" s="285" t="s">
        <v>1521</v>
      </c>
      <c r="B3875" s="273">
        <f t="shared" si="650"/>
        <v>6.1568097408153033</v>
      </c>
      <c r="C3875" s="273">
        <f>0-C3763</f>
        <v>0.14787596416559548</v>
      </c>
      <c r="D3875" s="273">
        <f>0-D3763</f>
        <v>5.2166056134706255E-2</v>
      </c>
      <c r="E3875" s="265"/>
    </row>
    <row r="3877" spans="1:5" ht="21" customHeight="1">
      <c r="A3877" s="1" t="s">
        <v>1612</v>
      </c>
    </row>
    <row r="3878" spans="1:5">
      <c r="A3878" s="264" t="s">
        <v>217</v>
      </c>
    </row>
    <row r="3879" spans="1:5">
      <c r="A3879" s="269" t="s">
        <v>686</v>
      </c>
    </row>
    <row r="3880" spans="1:5">
      <c r="A3880" s="269" t="s">
        <v>430</v>
      </c>
    </row>
    <row r="3881" spans="1:5">
      <c r="A3881" s="269" t="s">
        <v>494</v>
      </c>
    </row>
    <row r="3882" spans="1:5">
      <c r="A3882" s="269" t="s">
        <v>1613</v>
      </c>
    </row>
    <row r="3883" spans="1:5">
      <c r="A3883" s="270" t="s">
        <v>220</v>
      </c>
      <c r="B3883" s="270" t="s">
        <v>342</v>
      </c>
      <c r="C3883" s="270" t="s">
        <v>342</v>
      </c>
      <c r="D3883" s="270" t="s">
        <v>342</v>
      </c>
    </row>
    <row r="3884" spans="1:5">
      <c r="A3884" s="270" t="s">
        <v>223</v>
      </c>
      <c r="B3884" s="270" t="s">
        <v>1614</v>
      </c>
      <c r="C3884" s="270" t="s">
        <v>1615</v>
      </c>
      <c r="D3884" s="270" t="s">
        <v>1616</v>
      </c>
    </row>
    <row r="3886" spans="1:5" ht="30">
      <c r="B3886" s="284" t="s">
        <v>734</v>
      </c>
      <c r="C3886" s="284" t="s">
        <v>735</v>
      </c>
      <c r="D3886" s="284" t="s">
        <v>736</v>
      </c>
    </row>
    <row r="3887" spans="1:5">
      <c r="A3887" s="285" t="s">
        <v>54</v>
      </c>
      <c r="B3887" s="273">
        <f t="shared" ref="B3887:B3919" si="651">IF(B980&lt;0,0,B1268*10)</f>
        <v>43307645.850651629</v>
      </c>
      <c r="C3887" s="273">
        <f t="shared" ref="C3887:C3919" si="652">IF(B980&lt;0,0,C1268*10)</f>
        <v>0</v>
      </c>
      <c r="D3887" s="273">
        <f t="shared" ref="D3887:D3919" si="653">IF(B980&lt;0,0,D1268*10)</f>
        <v>0</v>
      </c>
      <c r="E3887" s="265"/>
    </row>
    <row r="3888" spans="1:5">
      <c r="A3888" s="285" t="s">
        <v>55</v>
      </c>
      <c r="B3888" s="273">
        <f t="shared" si="651"/>
        <v>6089313.4364339607</v>
      </c>
      <c r="C3888" s="273">
        <f t="shared" si="652"/>
        <v>6647675.2617889503</v>
      </c>
      <c r="D3888" s="273">
        <f t="shared" si="653"/>
        <v>0</v>
      </c>
      <c r="E3888" s="265"/>
    </row>
    <row r="3889" spans="1:5">
      <c r="A3889" s="285" t="s">
        <v>91</v>
      </c>
      <c r="B3889" s="273">
        <f t="shared" si="651"/>
        <v>459597.08361578616</v>
      </c>
      <c r="C3889" s="273">
        <f t="shared" si="652"/>
        <v>0</v>
      </c>
      <c r="D3889" s="273">
        <f t="shared" si="653"/>
        <v>0</v>
      </c>
      <c r="E3889" s="265"/>
    </row>
    <row r="3890" spans="1:5">
      <c r="A3890" s="285" t="s">
        <v>56</v>
      </c>
      <c r="B3890" s="273">
        <f t="shared" si="651"/>
        <v>11826441.894392911</v>
      </c>
      <c r="C3890" s="273">
        <f t="shared" si="652"/>
        <v>0</v>
      </c>
      <c r="D3890" s="273">
        <f t="shared" si="653"/>
        <v>0</v>
      </c>
      <c r="E3890" s="265"/>
    </row>
    <row r="3891" spans="1:5">
      <c r="A3891" s="285" t="s">
        <v>57</v>
      </c>
      <c r="B3891" s="273">
        <f t="shared" si="651"/>
        <v>3947846.0900907442</v>
      </c>
      <c r="C3891" s="273">
        <f t="shared" si="652"/>
        <v>1833733.3007767368</v>
      </c>
      <c r="D3891" s="273">
        <f t="shared" si="653"/>
        <v>0</v>
      </c>
      <c r="E3891" s="265"/>
    </row>
    <row r="3892" spans="1:5">
      <c r="A3892" s="285" t="s">
        <v>92</v>
      </c>
      <c r="B3892" s="273">
        <f t="shared" si="651"/>
        <v>173198.19478475716</v>
      </c>
      <c r="C3892" s="273">
        <f t="shared" si="652"/>
        <v>0</v>
      </c>
      <c r="D3892" s="273">
        <f t="shared" si="653"/>
        <v>0</v>
      </c>
      <c r="E3892" s="265"/>
    </row>
    <row r="3893" spans="1:5">
      <c r="A3893" s="285" t="s">
        <v>58</v>
      </c>
      <c r="B3893" s="273">
        <f t="shared" si="651"/>
        <v>8.0133204024159799E-3</v>
      </c>
      <c r="C3893" s="273">
        <f t="shared" si="652"/>
        <v>1.9866795975840208E-3</v>
      </c>
      <c r="D3893" s="273">
        <f t="shared" si="653"/>
        <v>0</v>
      </c>
      <c r="E3893" s="265"/>
    </row>
    <row r="3894" spans="1:5">
      <c r="A3894" s="285" t="s">
        <v>59</v>
      </c>
      <c r="B3894" s="273">
        <f t="shared" si="651"/>
        <v>7.8187632481715851E-3</v>
      </c>
      <c r="C3894" s="273">
        <f t="shared" si="652"/>
        <v>2.1812367518284151E-3</v>
      </c>
      <c r="D3894" s="273">
        <f t="shared" si="653"/>
        <v>0</v>
      </c>
      <c r="E3894" s="265"/>
    </row>
    <row r="3895" spans="1:5">
      <c r="A3895" s="285" t="s">
        <v>72</v>
      </c>
      <c r="B3895" s="273">
        <f t="shared" si="651"/>
        <v>7.7902953356325149E-3</v>
      </c>
      <c r="C3895" s="273">
        <f t="shared" si="652"/>
        <v>2.2097046643674845E-3</v>
      </c>
      <c r="D3895" s="273">
        <f t="shared" si="653"/>
        <v>0</v>
      </c>
      <c r="E3895" s="265"/>
    </row>
    <row r="3896" spans="1:5">
      <c r="A3896" s="285" t="s">
        <v>1178</v>
      </c>
      <c r="B3896" s="273">
        <f t="shared" si="651"/>
        <v>0.22038402354910722</v>
      </c>
      <c r="C3896" s="273">
        <f t="shared" si="652"/>
        <v>0.56003186010638295</v>
      </c>
      <c r="D3896" s="273">
        <f t="shared" si="653"/>
        <v>0.52892165651785694</v>
      </c>
      <c r="E3896" s="265"/>
    </row>
    <row r="3897" spans="1:5">
      <c r="A3897" s="285" t="s">
        <v>1177</v>
      </c>
      <c r="B3897" s="273">
        <f t="shared" si="651"/>
        <v>268914.70075303363</v>
      </c>
      <c r="C3897" s="273">
        <f t="shared" si="652"/>
        <v>1989280.9836727716</v>
      </c>
      <c r="D3897" s="273">
        <f t="shared" si="653"/>
        <v>1882581.0563805546</v>
      </c>
      <c r="E3897" s="265"/>
    </row>
    <row r="3898" spans="1:5">
      <c r="A3898" s="285" t="s">
        <v>60</v>
      </c>
      <c r="B3898" s="273">
        <f t="shared" si="651"/>
        <v>873980.17920974945</v>
      </c>
      <c r="C3898" s="273">
        <f t="shared" si="652"/>
        <v>6340614.7731110174</v>
      </c>
      <c r="D3898" s="273">
        <f t="shared" si="653"/>
        <v>5580233.4081296436</v>
      </c>
      <c r="E3898" s="265"/>
    </row>
    <row r="3899" spans="1:5">
      <c r="A3899" s="285" t="s">
        <v>61</v>
      </c>
      <c r="B3899" s="273">
        <f t="shared" si="651"/>
        <v>498689.64829459717</v>
      </c>
      <c r="C3899" s="273">
        <f t="shared" si="652"/>
        <v>3697134.5451334356</v>
      </c>
      <c r="D3899" s="273">
        <f t="shared" si="653"/>
        <v>3405481.699153956</v>
      </c>
      <c r="E3899" s="265"/>
    </row>
    <row r="3900" spans="1:5">
      <c r="A3900" s="285" t="s">
        <v>73</v>
      </c>
      <c r="B3900" s="273">
        <f t="shared" si="651"/>
        <v>1541236.9691251323</v>
      </c>
      <c r="C3900" s="273">
        <f t="shared" si="652"/>
        <v>10973900.216684032</v>
      </c>
      <c r="D3900" s="273">
        <f t="shared" si="653"/>
        <v>11892449.617678739</v>
      </c>
      <c r="E3900" s="265"/>
    </row>
    <row r="3901" spans="1:5">
      <c r="A3901" s="285" t="s">
        <v>93</v>
      </c>
      <c r="B3901" s="273">
        <f t="shared" si="651"/>
        <v>102166.76329270215</v>
      </c>
      <c r="C3901" s="273">
        <f t="shared" si="652"/>
        <v>0</v>
      </c>
      <c r="D3901" s="273">
        <f t="shared" si="653"/>
        <v>0</v>
      </c>
      <c r="E3901" s="265"/>
    </row>
    <row r="3902" spans="1:5">
      <c r="A3902" s="285" t="s">
        <v>94</v>
      </c>
      <c r="B3902" s="273">
        <f t="shared" si="651"/>
        <v>78753.061605532406</v>
      </c>
      <c r="C3902" s="273">
        <f t="shared" si="652"/>
        <v>0</v>
      </c>
      <c r="D3902" s="273">
        <f t="shared" si="653"/>
        <v>0</v>
      </c>
      <c r="E3902" s="265"/>
    </row>
    <row r="3903" spans="1:5">
      <c r="A3903" s="285" t="s">
        <v>95</v>
      </c>
      <c r="B3903" s="273">
        <f t="shared" si="651"/>
        <v>9935.4794623969283</v>
      </c>
      <c r="C3903" s="273">
        <f t="shared" si="652"/>
        <v>0</v>
      </c>
      <c r="D3903" s="273">
        <f t="shared" si="653"/>
        <v>0</v>
      </c>
      <c r="E3903" s="265"/>
    </row>
    <row r="3904" spans="1:5">
      <c r="A3904" s="285" t="s">
        <v>96</v>
      </c>
      <c r="B3904" s="273">
        <f t="shared" si="651"/>
        <v>0</v>
      </c>
      <c r="C3904" s="273">
        <f t="shared" si="652"/>
        <v>0</v>
      </c>
      <c r="D3904" s="273">
        <f t="shared" si="653"/>
        <v>0</v>
      </c>
      <c r="E3904" s="265"/>
    </row>
    <row r="3905" spans="1:5">
      <c r="A3905" s="285" t="s">
        <v>97</v>
      </c>
      <c r="B3905" s="273">
        <f t="shared" si="651"/>
        <v>41065.892409350963</v>
      </c>
      <c r="C3905" s="273">
        <f t="shared" si="652"/>
        <v>295462.09098717442</v>
      </c>
      <c r="D3905" s="273">
        <f t="shared" si="653"/>
        <v>797992.43698458059</v>
      </c>
      <c r="E3905" s="265"/>
    </row>
    <row r="3906" spans="1:5">
      <c r="A3906" s="285" t="s">
        <v>1176</v>
      </c>
      <c r="B3906" s="273">
        <f t="shared" si="651"/>
        <v>0</v>
      </c>
      <c r="C3906" s="273">
        <f t="shared" si="652"/>
        <v>0</v>
      </c>
      <c r="D3906" s="273">
        <f t="shared" si="653"/>
        <v>0</v>
      </c>
      <c r="E3906" s="265"/>
    </row>
    <row r="3907" spans="1:5">
      <c r="A3907" s="285" t="s">
        <v>62</v>
      </c>
      <c r="B3907" s="273">
        <f t="shared" si="651"/>
        <v>0</v>
      </c>
      <c r="C3907" s="273">
        <f t="shared" si="652"/>
        <v>0</v>
      </c>
      <c r="D3907" s="273">
        <f t="shared" si="653"/>
        <v>0</v>
      </c>
      <c r="E3907" s="265"/>
    </row>
    <row r="3908" spans="1:5">
      <c r="A3908" s="285" t="s">
        <v>63</v>
      </c>
      <c r="B3908" s="273">
        <f t="shared" si="651"/>
        <v>0</v>
      </c>
      <c r="C3908" s="273">
        <f t="shared" si="652"/>
        <v>0</v>
      </c>
      <c r="D3908" s="273">
        <f t="shared" si="653"/>
        <v>0</v>
      </c>
      <c r="E3908" s="265"/>
    </row>
    <row r="3909" spans="1:5">
      <c r="A3909" s="285" t="s">
        <v>1516</v>
      </c>
      <c r="B3909" s="273">
        <f t="shared" si="651"/>
        <v>0</v>
      </c>
      <c r="C3909" s="273">
        <f t="shared" si="652"/>
        <v>0</v>
      </c>
      <c r="D3909" s="273">
        <f t="shared" si="653"/>
        <v>0</v>
      </c>
      <c r="E3909" s="265"/>
    </row>
    <row r="3910" spans="1:5">
      <c r="A3910" s="285" t="s">
        <v>64</v>
      </c>
      <c r="B3910" s="273">
        <f t="shared" si="651"/>
        <v>0</v>
      </c>
      <c r="C3910" s="273">
        <f t="shared" si="652"/>
        <v>0</v>
      </c>
      <c r="D3910" s="273">
        <f t="shared" si="653"/>
        <v>0</v>
      </c>
      <c r="E3910" s="265"/>
    </row>
    <row r="3911" spans="1:5">
      <c r="A3911" s="285" t="s">
        <v>1517</v>
      </c>
      <c r="B3911" s="273">
        <f t="shared" si="651"/>
        <v>0</v>
      </c>
      <c r="C3911" s="273">
        <f t="shared" si="652"/>
        <v>0</v>
      </c>
      <c r="D3911" s="273">
        <f t="shared" si="653"/>
        <v>0</v>
      </c>
      <c r="E3911" s="265"/>
    </row>
    <row r="3912" spans="1:5">
      <c r="A3912" s="285" t="s">
        <v>65</v>
      </c>
      <c r="B3912" s="273">
        <f t="shared" si="651"/>
        <v>0</v>
      </c>
      <c r="C3912" s="273">
        <f t="shared" si="652"/>
        <v>0</v>
      </c>
      <c r="D3912" s="273">
        <f t="shared" si="653"/>
        <v>0</v>
      </c>
      <c r="E3912" s="265"/>
    </row>
    <row r="3913" spans="1:5">
      <c r="A3913" s="285" t="s">
        <v>1518</v>
      </c>
      <c r="B3913" s="273">
        <f t="shared" si="651"/>
        <v>0</v>
      </c>
      <c r="C3913" s="273">
        <f t="shared" si="652"/>
        <v>0</v>
      </c>
      <c r="D3913" s="273">
        <f t="shared" si="653"/>
        <v>0</v>
      </c>
      <c r="E3913" s="265"/>
    </row>
    <row r="3914" spans="1:5">
      <c r="A3914" s="285" t="s">
        <v>66</v>
      </c>
      <c r="B3914" s="273">
        <f t="shared" si="651"/>
        <v>0</v>
      </c>
      <c r="C3914" s="273">
        <f t="shared" si="652"/>
        <v>0</v>
      </c>
      <c r="D3914" s="273">
        <f t="shared" si="653"/>
        <v>0</v>
      </c>
      <c r="E3914" s="265"/>
    </row>
    <row r="3915" spans="1:5">
      <c r="A3915" s="285" t="s">
        <v>1519</v>
      </c>
      <c r="B3915" s="273">
        <f t="shared" si="651"/>
        <v>0</v>
      </c>
      <c r="C3915" s="273">
        <f t="shared" si="652"/>
        <v>0</v>
      </c>
      <c r="D3915" s="273">
        <f t="shared" si="653"/>
        <v>0</v>
      </c>
      <c r="E3915" s="265"/>
    </row>
    <row r="3916" spans="1:5">
      <c r="A3916" s="285" t="s">
        <v>74</v>
      </c>
      <c r="B3916" s="273">
        <f t="shared" si="651"/>
        <v>0</v>
      </c>
      <c r="C3916" s="273">
        <f t="shared" si="652"/>
        <v>0</v>
      </c>
      <c r="D3916" s="273">
        <f t="shared" si="653"/>
        <v>0</v>
      </c>
      <c r="E3916" s="265"/>
    </row>
    <row r="3917" spans="1:5">
      <c r="A3917" s="285" t="s">
        <v>1520</v>
      </c>
      <c r="B3917" s="273">
        <f t="shared" si="651"/>
        <v>0</v>
      </c>
      <c r="C3917" s="273">
        <f t="shared" si="652"/>
        <v>0</v>
      </c>
      <c r="D3917" s="273">
        <f t="shared" si="653"/>
        <v>0</v>
      </c>
      <c r="E3917" s="265"/>
    </row>
    <row r="3918" spans="1:5">
      <c r="A3918" s="285" t="s">
        <v>75</v>
      </c>
      <c r="B3918" s="273">
        <f t="shared" si="651"/>
        <v>0</v>
      </c>
      <c r="C3918" s="273">
        <f t="shared" si="652"/>
        <v>0</v>
      </c>
      <c r="D3918" s="273">
        <f t="shared" si="653"/>
        <v>0</v>
      </c>
      <c r="E3918" s="265"/>
    </row>
    <row r="3919" spans="1:5">
      <c r="A3919" s="285" t="s">
        <v>1521</v>
      </c>
      <c r="B3919" s="273">
        <f t="shared" si="651"/>
        <v>0</v>
      </c>
      <c r="C3919" s="273">
        <f t="shared" si="652"/>
        <v>0</v>
      </c>
      <c r="D3919" s="273">
        <f t="shared" si="653"/>
        <v>0</v>
      </c>
      <c r="E3919" s="265"/>
    </row>
    <row r="3921" spans="1:3" ht="21" customHeight="1">
      <c r="A3921" s="1" t="s">
        <v>1617</v>
      </c>
    </row>
    <row r="3922" spans="1:3">
      <c r="A3922" s="264" t="s">
        <v>217</v>
      </c>
    </row>
    <row r="3923" spans="1:3">
      <c r="A3923" s="269" t="s">
        <v>1747</v>
      </c>
    </row>
    <row r="3924" spans="1:3">
      <c r="A3924" s="269" t="s">
        <v>1618</v>
      </c>
    </row>
    <row r="3925" spans="1:3">
      <c r="A3925" s="269" t="s">
        <v>1619</v>
      </c>
    </row>
    <row r="3926" spans="1:3">
      <c r="A3926" s="269" t="s">
        <v>1620</v>
      </c>
    </row>
    <row r="3927" spans="1:3">
      <c r="A3927" s="264" t="s">
        <v>1621</v>
      </c>
    </row>
    <row r="3929" spans="1:3">
      <c r="B3929" s="284" t="s">
        <v>737</v>
      </c>
    </row>
    <row r="3930" spans="1:3">
      <c r="A3930" s="285" t="s">
        <v>737</v>
      </c>
      <c r="B3930" s="273">
        <f>C3830/SUM($B$3887:$B$3919,$C$3887:$C$3919,$D$3887:$D$3919)</f>
        <v>1.424394260029445</v>
      </c>
      <c r="C3930" s="265"/>
    </row>
    <row r="3932" spans="1:3" ht="21" customHeight="1">
      <c r="A3932" s="1" t="s">
        <v>1622</v>
      </c>
    </row>
    <row r="3933" spans="1:3">
      <c r="A3933" s="264" t="s">
        <v>217</v>
      </c>
    </row>
    <row r="3934" spans="1:3">
      <c r="A3934" s="269" t="s">
        <v>1623</v>
      </c>
    </row>
    <row r="3935" spans="1:3">
      <c r="A3935" s="269" t="s">
        <v>1624</v>
      </c>
    </row>
    <row r="3936" spans="1:3">
      <c r="A3936" s="269" t="s">
        <v>1625</v>
      </c>
    </row>
    <row r="3937" spans="1:3">
      <c r="A3937" s="269" t="s">
        <v>1626</v>
      </c>
    </row>
    <row r="3938" spans="1:3">
      <c r="A3938" s="264" t="s">
        <v>1627</v>
      </c>
    </row>
    <row r="3940" spans="1:3">
      <c r="B3940" s="284" t="s">
        <v>738</v>
      </c>
    </row>
    <row r="3941" spans="1:3">
      <c r="A3941" s="285" t="s">
        <v>738</v>
      </c>
      <c r="B3941" s="273">
        <f>MIN(B3930,$B$3843:$B$3875,$C$3843:$C$3875,$D$3843:$D$3875)</f>
        <v>-36.815073059707053</v>
      </c>
      <c r="C3941" s="265"/>
    </row>
    <row r="3943" spans="1:3" ht="21" customHeight="1">
      <c r="A3943" s="1" t="s">
        <v>1628</v>
      </c>
    </row>
    <row r="3944" spans="1:3">
      <c r="A3944" s="264" t="s">
        <v>217</v>
      </c>
    </row>
    <row r="3945" spans="1:3">
      <c r="A3945" s="269" t="s">
        <v>1629</v>
      </c>
    </row>
    <row r="3946" spans="1:3">
      <c r="A3946" s="269" t="s">
        <v>1624</v>
      </c>
    </row>
    <row r="3947" spans="1:3">
      <c r="A3947" s="269" t="s">
        <v>1625</v>
      </c>
    </row>
    <row r="3948" spans="1:3">
      <c r="A3948" s="269" t="s">
        <v>1626</v>
      </c>
    </row>
    <row r="3949" spans="1:3">
      <c r="A3949" s="269" t="s">
        <v>1630</v>
      </c>
    </row>
    <row r="3950" spans="1:3">
      <c r="A3950" s="269" t="s">
        <v>1631</v>
      </c>
    </row>
    <row r="3951" spans="1:3">
      <c r="A3951" s="269" t="s">
        <v>1632</v>
      </c>
    </row>
    <row r="3952" spans="1:3">
      <c r="A3952" s="269" t="s">
        <v>1633</v>
      </c>
    </row>
    <row r="3953" spans="1:14">
      <c r="A3953" s="269" t="s">
        <v>1634</v>
      </c>
    </row>
    <row r="3954" spans="1:14">
      <c r="A3954" s="269" t="s">
        <v>1635</v>
      </c>
    </row>
    <row r="3955" spans="1:14">
      <c r="A3955" s="269" t="s">
        <v>1636</v>
      </c>
    </row>
    <row r="3956" spans="1:14">
      <c r="A3956" s="269" t="s">
        <v>1637</v>
      </c>
    </row>
    <row r="3957" spans="1:14">
      <c r="A3957" s="269" t="s">
        <v>1638</v>
      </c>
    </row>
    <row r="3958" spans="1:14">
      <c r="A3958" s="269" t="s">
        <v>1639</v>
      </c>
    </row>
    <row r="3959" spans="1:14">
      <c r="A3959" s="269" t="s">
        <v>1640</v>
      </c>
    </row>
    <row r="3960" spans="1:14">
      <c r="A3960" s="269" t="s">
        <v>1641</v>
      </c>
    </row>
    <row r="3961" spans="1:14">
      <c r="A3961" s="269" t="s">
        <v>1642</v>
      </c>
    </row>
    <row r="3962" spans="1:14">
      <c r="A3962" s="269" t="s">
        <v>1643</v>
      </c>
    </row>
    <row r="3963" spans="1:14">
      <c r="A3963" s="269" t="s">
        <v>1748</v>
      </c>
    </row>
    <row r="3964" spans="1:14">
      <c r="A3964" s="269" t="s">
        <v>1644</v>
      </c>
    </row>
    <row r="3965" spans="1:14">
      <c r="A3965" s="269" t="s">
        <v>1645</v>
      </c>
    </row>
    <row r="3966" spans="1:14">
      <c r="A3966" s="270" t="s">
        <v>220</v>
      </c>
      <c r="B3966" s="270" t="s">
        <v>285</v>
      </c>
      <c r="C3966" s="270" t="s">
        <v>285</v>
      </c>
      <c r="D3966" s="270" t="s">
        <v>285</v>
      </c>
      <c r="E3966" s="270" t="s">
        <v>285</v>
      </c>
      <c r="F3966" s="270" t="s">
        <v>285</v>
      </c>
      <c r="G3966" s="270" t="s">
        <v>221</v>
      </c>
      <c r="H3966" s="270" t="s">
        <v>342</v>
      </c>
      <c r="I3966" s="270" t="s">
        <v>285</v>
      </c>
      <c r="J3966" s="270" t="s">
        <v>285</v>
      </c>
      <c r="K3966" s="270" t="s">
        <v>285</v>
      </c>
      <c r="L3966" s="270" t="s">
        <v>285</v>
      </c>
      <c r="M3966" s="270" t="s">
        <v>285</v>
      </c>
      <c r="N3966" s="270" t="s">
        <v>285</v>
      </c>
    </row>
    <row r="3967" spans="1:14">
      <c r="A3967" s="270" t="s">
        <v>223</v>
      </c>
      <c r="B3967" s="270" t="s">
        <v>1646</v>
      </c>
      <c r="C3967" s="270" t="s">
        <v>285</v>
      </c>
      <c r="D3967" s="270" t="s">
        <v>1384</v>
      </c>
      <c r="E3967" s="270" t="s">
        <v>1385</v>
      </c>
      <c r="F3967" s="270" t="s">
        <v>1386</v>
      </c>
      <c r="G3967" s="270" t="s">
        <v>224</v>
      </c>
      <c r="H3967" s="270" t="s">
        <v>1647</v>
      </c>
      <c r="I3967" s="270" t="s">
        <v>1387</v>
      </c>
      <c r="J3967" s="270" t="s">
        <v>1388</v>
      </c>
      <c r="K3967" s="270" t="s">
        <v>1389</v>
      </c>
      <c r="L3967" s="270" t="s">
        <v>285</v>
      </c>
      <c r="M3967" s="270" t="s">
        <v>285</v>
      </c>
      <c r="N3967" s="270" t="s">
        <v>285</v>
      </c>
    </row>
    <row r="3969" spans="1:15">
      <c r="B3969" s="284" t="s">
        <v>739</v>
      </c>
      <c r="C3969" s="284" t="s">
        <v>740</v>
      </c>
      <c r="D3969" s="284" t="s">
        <v>741</v>
      </c>
      <c r="E3969" s="284" t="s">
        <v>742</v>
      </c>
      <c r="F3969" s="284" t="s">
        <v>743</v>
      </c>
      <c r="G3969" s="284" t="s">
        <v>744</v>
      </c>
      <c r="H3969" s="284" t="s">
        <v>745</v>
      </c>
      <c r="I3969" s="284" t="s">
        <v>746</v>
      </c>
      <c r="J3969" s="284" t="s">
        <v>747</v>
      </c>
      <c r="K3969" s="284" t="s">
        <v>748</v>
      </c>
      <c r="L3969" s="284" t="s">
        <v>749</v>
      </c>
      <c r="M3969" s="284" t="s">
        <v>6</v>
      </c>
      <c r="N3969" s="284" t="s">
        <v>750</v>
      </c>
    </row>
    <row r="3970" spans="1:15">
      <c r="A3970" s="285" t="s">
        <v>738</v>
      </c>
      <c r="B3970" s="273">
        <f>B3941</f>
        <v>-36.815073059707053</v>
      </c>
      <c r="C3970" s="291"/>
      <c r="D3970" s="291"/>
      <c r="E3970" s="291"/>
      <c r="F3970" s="291"/>
      <c r="G3970" s="272">
        <v>0</v>
      </c>
      <c r="H3970" s="275">
        <f t="shared" ref="H3970:H4033" si="654">F3970*99+G3970</f>
        <v>0</v>
      </c>
      <c r="I3970" s="291"/>
      <c r="J3970" s="291"/>
      <c r="K3970" s="273">
        <f>B3970</f>
        <v>-36.815073059707053</v>
      </c>
      <c r="L3970" s="273">
        <f>SUM(D$3971:D$4069)</f>
        <v>0</v>
      </c>
      <c r="M3970" s="273">
        <f>SUM($E$3971:$E$4069)-$C$3830</f>
        <v>-318466030.10475254</v>
      </c>
      <c r="N3970" s="273" t="str">
        <f>IF(M$3970&gt;0,K3970,IF(M$4069&gt;0,"",$B$3930))</f>
        <v/>
      </c>
      <c r="O3970" s="265"/>
    </row>
    <row r="3971" spans="1:15">
      <c r="A3971" s="285" t="s">
        <v>751</v>
      </c>
      <c r="B3971" s="273">
        <f t="shared" ref="B3971:B4003" si="655">B3843</f>
        <v>-1.5974130739631409</v>
      </c>
      <c r="C3971" s="273">
        <f t="shared" ref="C3971:C4003" si="656">B3887</f>
        <v>43307645.850651629</v>
      </c>
      <c r="D3971" s="273">
        <f t="shared" ref="D3971:D4034" si="657">IF(ISERROR(B3971),C3971,0)</f>
        <v>0</v>
      </c>
      <c r="E3971" s="273">
        <f t="shared" ref="E3971:E4034" si="658">MAX($B$3941,B3971)*C3971</f>
        <v>-69180199.68439649</v>
      </c>
      <c r="F3971" s="275">
        <f t="shared" ref="F3971:F4034" si="659">RANK(B3971,B$3971:B$4069,1)</f>
        <v>11</v>
      </c>
      <c r="G3971" s="272">
        <v>1</v>
      </c>
      <c r="H3971" s="275">
        <f t="shared" si="654"/>
        <v>1090</v>
      </c>
      <c r="I3971" s="275">
        <f t="shared" ref="I3971:I4034" si="660">RANK(H3971,H$3971:H$4069,1)</f>
        <v>11</v>
      </c>
      <c r="J3971" s="275">
        <f t="shared" ref="J3971:J4034" si="661">MATCH(G3971,I$3971:I$4069,0)</f>
        <v>19</v>
      </c>
      <c r="K3971" s="273">
        <f t="shared" ref="K3971:K4034" si="662">INDEX(B$3971:B$4069,J3971,1)</f>
        <v>-36.815073059707053</v>
      </c>
      <c r="L3971" s="273">
        <f t="shared" ref="L3971:L4034" si="663">L3970+INDEX(C$3971:C$4069,J3971,1)</f>
        <v>41065.892409350963</v>
      </c>
      <c r="M3971" s="273">
        <f t="shared" ref="M3971:M4034" si="664">M3970+(K3971-K3970)*L3970</f>
        <v>-318466030.10475254</v>
      </c>
      <c r="N3971" s="273" t="str">
        <f t="shared" ref="N3971:N4034" si="665">IF((M3970&gt;0)=(M3971&gt;0),"",K3971-M3971/L3970)</f>
        <v/>
      </c>
      <c r="O3971" s="265"/>
    </row>
    <row r="3972" spans="1:15">
      <c r="A3972" s="285" t="s">
        <v>752</v>
      </c>
      <c r="B3972" s="273">
        <f t="shared" si="655"/>
        <v>-1.981279747087924</v>
      </c>
      <c r="C3972" s="273">
        <f t="shared" si="656"/>
        <v>6089313.4364339607</v>
      </c>
      <c r="D3972" s="273">
        <f t="shared" si="657"/>
        <v>0</v>
      </c>
      <c r="E3972" s="273">
        <f t="shared" si="658"/>
        <v>-12064633.385276975</v>
      </c>
      <c r="F3972" s="275">
        <f t="shared" si="659"/>
        <v>9</v>
      </c>
      <c r="G3972" s="272">
        <v>2</v>
      </c>
      <c r="H3972" s="275">
        <f t="shared" si="654"/>
        <v>893</v>
      </c>
      <c r="I3972" s="275">
        <f t="shared" si="660"/>
        <v>9</v>
      </c>
      <c r="J3972" s="275">
        <f t="shared" si="661"/>
        <v>11</v>
      </c>
      <c r="K3972" s="273">
        <f t="shared" si="662"/>
        <v>-14.55739952578163</v>
      </c>
      <c r="L3972" s="273">
        <f t="shared" si="663"/>
        <v>309980.59316238458</v>
      </c>
      <c r="M3972" s="273">
        <f t="shared" si="664"/>
        <v>-317551998.87812591</v>
      </c>
      <c r="N3972" s="273" t="str">
        <f t="shared" si="665"/>
        <v/>
      </c>
      <c r="O3972" s="265"/>
    </row>
    <row r="3973" spans="1:15">
      <c r="A3973" s="285" t="s">
        <v>753</v>
      </c>
      <c r="B3973" s="273">
        <f t="shared" si="655"/>
        <v>-0.14887893845380923</v>
      </c>
      <c r="C3973" s="273">
        <f t="shared" si="656"/>
        <v>459597.08361578616</v>
      </c>
      <c r="D3973" s="273">
        <f t="shared" si="657"/>
        <v>0</v>
      </c>
      <c r="E3973" s="273">
        <f t="shared" si="658"/>
        <v>-68424.325925184836</v>
      </c>
      <c r="F3973" s="275">
        <f t="shared" si="659"/>
        <v>29</v>
      </c>
      <c r="G3973" s="272">
        <v>3</v>
      </c>
      <c r="H3973" s="275">
        <f t="shared" si="654"/>
        <v>2874</v>
      </c>
      <c r="I3973" s="275">
        <f t="shared" si="660"/>
        <v>29</v>
      </c>
      <c r="J3973" s="275">
        <f t="shared" si="661"/>
        <v>10</v>
      </c>
      <c r="K3973" s="273">
        <f t="shared" si="662"/>
        <v>-14.274986486546482</v>
      </c>
      <c r="L3973" s="273">
        <f t="shared" si="663"/>
        <v>309980.81354640814</v>
      </c>
      <c r="M3973" s="273">
        <f t="shared" si="664"/>
        <v>-317464456.31670702</v>
      </c>
      <c r="N3973" s="273" t="str">
        <f t="shared" si="665"/>
        <v/>
      </c>
      <c r="O3973" s="265"/>
    </row>
    <row r="3974" spans="1:15">
      <c r="A3974" s="285" t="s">
        <v>754</v>
      </c>
      <c r="B3974" s="273">
        <f t="shared" si="655"/>
        <v>-1.3282779490351984</v>
      </c>
      <c r="C3974" s="273">
        <f t="shared" si="656"/>
        <v>11826441.894392911</v>
      </c>
      <c r="D3974" s="273">
        <f t="shared" si="657"/>
        <v>0</v>
      </c>
      <c r="E3974" s="273">
        <f t="shared" si="658"/>
        <v>-15708801.983868163</v>
      </c>
      <c r="F3974" s="275">
        <f t="shared" si="659"/>
        <v>16</v>
      </c>
      <c r="G3974" s="272">
        <v>4</v>
      </c>
      <c r="H3974" s="275">
        <f t="shared" si="654"/>
        <v>1588</v>
      </c>
      <c r="I3974" s="275">
        <f t="shared" si="660"/>
        <v>16</v>
      </c>
      <c r="J3974" s="275">
        <f t="shared" si="661"/>
        <v>12</v>
      </c>
      <c r="K3974" s="273">
        <f t="shared" si="662"/>
        <v>-10.234651488932164</v>
      </c>
      <c r="L3974" s="273">
        <f t="shared" si="663"/>
        <v>1183960.9927561576</v>
      </c>
      <c r="M3974" s="273">
        <f t="shared" si="664"/>
        <v>-316212029.9871465</v>
      </c>
      <c r="N3974" s="273" t="str">
        <f t="shared" si="665"/>
        <v/>
      </c>
      <c r="O3974" s="265"/>
    </row>
    <row r="3975" spans="1:15">
      <c r="A3975" s="285" t="s">
        <v>755</v>
      </c>
      <c r="B3975" s="273">
        <f t="shared" si="655"/>
        <v>-1.5555963935593731</v>
      </c>
      <c r="C3975" s="273">
        <f t="shared" si="656"/>
        <v>3947846.0900907442</v>
      </c>
      <c r="D3975" s="273">
        <f t="shared" si="657"/>
        <v>0</v>
      </c>
      <c r="E3975" s="273">
        <f t="shared" si="658"/>
        <v>-6141255.1400726335</v>
      </c>
      <c r="F3975" s="275">
        <f t="shared" si="659"/>
        <v>12</v>
      </c>
      <c r="G3975" s="272">
        <v>5</v>
      </c>
      <c r="H3975" s="275">
        <f t="shared" si="654"/>
        <v>1193</v>
      </c>
      <c r="I3975" s="275">
        <f t="shared" si="660"/>
        <v>12</v>
      </c>
      <c r="J3975" s="275">
        <f t="shared" si="661"/>
        <v>13</v>
      </c>
      <c r="K3975" s="273">
        <f t="shared" si="662"/>
        <v>-7.9405668400733136</v>
      </c>
      <c r="L3975" s="273">
        <f t="shared" si="663"/>
        <v>1682650.6410507548</v>
      </c>
      <c r="M3975" s="273">
        <f t="shared" si="664"/>
        <v>-313495923.24881691</v>
      </c>
      <c r="N3975" s="273" t="str">
        <f t="shared" si="665"/>
        <v/>
      </c>
      <c r="O3975" s="265"/>
    </row>
    <row r="3976" spans="1:15">
      <c r="A3976" s="285" t="s">
        <v>756</v>
      </c>
      <c r="B3976" s="273">
        <f t="shared" si="655"/>
        <v>-0.15764920833940255</v>
      </c>
      <c r="C3976" s="273">
        <f t="shared" si="656"/>
        <v>173198.19478475716</v>
      </c>
      <c r="D3976" s="273">
        <f t="shared" si="657"/>
        <v>0</v>
      </c>
      <c r="E3976" s="273">
        <f t="shared" si="658"/>
        <v>-27304.558293630605</v>
      </c>
      <c r="F3976" s="275">
        <f t="shared" si="659"/>
        <v>26</v>
      </c>
      <c r="G3976" s="272">
        <v>6</v>
      </c>
      <c r="H3976" s="275">
        <f t="shared" si="654"/>
        <v>2580</v>
      </c>
      <c r="I3976" s="275">
        <f t="shared" si="660"/>
        <v>26</v>
      </c>
      <c r="J3976" s="275">
        <f t="shared" si="661"/>
        <v>14</v>
      </c>
      <c r="K3976" s="273">
        <f t="shared" si="662"/>
        <v>-5.8873594875964956</v>
      </c>
      <c r="L3976" s="273">
        <f t="shared" si="663"/>
        <v>3223887.6101758871</v>
      </c>
      <c r="M3976" s="273">
        <f t="shared" si="664"/>
        <v>-310041092.58096164</v>
      </c>
      <c r="N3976" s="273" t="str">
        <f t="shared" si="665"/>
        <v/>
      </c>
      <c r="O3976" s="265"/>
    </row>
    <row r="3977" spans="1:15">
      <c r="A3977" s="285" t="s">
        <v>757</v>
      </c>
      <c r="B3977" s="273">
        <f t="shared" si="655"/>
        <v>-1.3955325154428646</v>
      </c>
      <c r="C3977" s="273">
        <f t="shared" si="656"/>
        <v>8.0133204024159799E-3</v>
      </c>
      <c r="D3977" s="273">
        <f t="shared" si="657"/>
        <v>0</v>
      </c>
      <c r="E3977" s="273">
        <f t="shared" si="658"/>
        <v>-1.1182849178233201E-2</v>
      </c>
      <c r="F3977" s="275">
        <f t="shared" si="659"/>
        <v>15</v>
      </c>
      <c r="G3977" s="272">
        <v>7</v>
      </c>
      <c r="H3977" s="275">
        <f t="shared" si="654"/>
        <v>1492</v>
      </c>
      <c r="I3977" s="275">
        <f t="shared" si="660"/>
        <v>15</v>
      </c>
      <c r="J3977" s="275">
        <f t="shared" si="661"/>
        <v>17</v>
      </c>
      <c r="K3977" s="273">
        <f t="shared" si="662"/>
        <v>-3.3169237835605081</v>
      </c>
      <c r="L3977" s="273">
        <f t="shared" si="663"/>
        <v>3233823.0896382839</v>
      </c>
      <c r="M3977" s="273">
        <f t="shared" si="664"/>
        <v>-301754296.76196629</v>
      </c>
      <c r="N3977" s="273" t="str">
        <f t="shared" si="665"/>
        <v/>
      </c>
      <c r="O3977" s="265"/>
    </row>
    <row r="3978" spans="1:15">
      <c r="A3978" s="285" t="s">
        <v>758</v>
      </c>
      <c r="B3978" s="273">
        <f t="shared" si="655"/>
        <v>-1.2518726071588753</v>
      </c>
      <c r="C3978" s="273">
        <f t="shared" si="656"/>
        <v>7.8187632481715851E-3</v>
      </c>
      <c r="D3978" s="273">
        <f t="shared" si="657"/>
        <v>0</v>
      </c>
      <c r="E3978" s="273">
        <f t="shared" si="658"/>
        <v>-9.7880955322465577E-3</v>
      </c>
      <c r="F3978" s="275">
        <f t="shared" si="659"/>
        <v>17</v>
      </c>
      <c r="G3978" s="272">
        <v>8</v>
      </c>
      <c r="H3978" s="275">
        <f t="shared" si="654"/>
        <v>1691</v>
      </c>
      <c r="I3978" s="275">
        <f t="shared" si="660"/>
        <v>17</v>
      </c>
      <c r="J3978" s="275">
        <f t="shared" si="661"/>
        <v>16</v>
      </c>
      <c r="K3978" s="273">
        <f t="shared" si="662"/>
        <v>-2.3275108499462247</v>
      </c>
      <c r="L3978" s="273">
        <f t="shared" si="663"/>
        <v>3312576.1512438161</v>
      </c>
      <c r="M3978" s="273">
        <f t="shared" si="664"/>
        <v>-298554710.37205768</v>
      </c>
      <c r="N3978" s="273" t="str">
        <f t="shared" si="665"/>
        <v/>
      </c>
      <c r="O3978" s="265"/>
    </row>
    <row r="3979" spans="1:15">
      <c r="A3979" s="285" t="s">
        <v>759</v>
      </c>
      <c r="B3979" s="273">
        <f t="shared" si="655"/>
        <v>-0.73772845925437436</v>
      </c>
      <c r="C3979" s="273">
        <f t="shared" si="656"/>
        <v>7.7902953356325149E-3</v>
      </c>
      <c r="D3979" s="273">
        <f t="shared" si="657"/>
        <v>0</v>
      </c>
      <c r="E3979" s="273">
        <f t="shared" si="658"/>
        <v>-5.7471225750927142E-3</v>
      </c>
      <c r="F3979" s="275">
        <f t="shared" si="659"/>
        <v>19</v>
      </c>
      <c r="G3979" s="272">
        <v>9</v>
      </c>
      <c r="H3979" s="275">
        <f t="shared" si="654"/>
        <v>1890</v>
      </c>
      <c r="I3979" s="275">
        <f t="shared" si="660"/>
        <v>19</v>
      </c>
      <c r="J3979" s="275">
        <f t="shared" si="661"/>
        <v>2</v>
      </c>
      <c r="K3979" s="273">
        <f t="shared" si="662"/>
        <v>-1.981279747087924</v>
      </c>
      <c r="L3979" s="273">
        <f t="shared" si="663"/>
        <v>9401889.5876777768</v>
      </c>
      <c r="M3979" s="273">
        <f t="shared" si="664"/>
        <v>-297407793.4779104</v>
      </c>
      <c r="N3979" s="273" t="str">
        <f t="shared" si="665"/>
        <v/>
      </c>
      <c r="O3979" s="265"/>
    </row>
    <row r="3980" spans="1:15">
      <c r="A3980" s="285" t="s">
        <v>760</v>
      </c>
      <c r="B3980" s="273">
        <f t="shared" si="655"/>
        <v>-14.274986486546482</v>
      </c>
      <c r="C3980" s="273">
        <f t="shared" si="656"/>
        <v>0.22038402354910722</v>
      </c>
      <c r="D3980" s="273">
        <f t="shared" si="657"/>
        <v>0</v>
      </c>
      <c r="E3980" s="273">
        <f t="shared" si="658"/>
        <v>-3.145978958014247</v>
      </c>
      <c r="F3980" s="275">
        <f t="shared" si="659"/>
        <v>3</v>
      </c>
      <c r="G3980" s="272">
        <v>10</v>
      </c>
      <c r="H3980" s="275">
        <f t="shared" si="654"/>
        <v>307</v>
      </c>
      <c r="I3980" s="275">
        <f t="shared" si="660"/>
        <v>3</v>
      </c>
      <c r="J3980" s="275">
        <f t="shared" si="661"/>
        <v>15</v>
      </c>
      <c r="K3980" s="273">
        <f t="shared" si="662"/>
        <v>-1.9061833919371085</v>
      </c>
      <c r="L3980" s="273">
        <f t="shared" si="663"/>
        <v>9504056.3509704787</v>
      </c>
      <c r="M3980" s="273">
        <f t="shared" si="664"/>
        <v>-296701745.83834541</v>
      </c>
      <c r="N3980" s="273" t="str">
        <f t="shared" si="665"/>
        <v/>
      </c>
      <c r="O3980" s="265"/>
    </row>
    <row r="3981" spans="1:15">
      <c r="A3981" s="285" t="s">
        <v>761</v>
      </c>
      <c r="B3981" s="273">
        <f t="shared" si="655"/>
        <v>-14.55739952578163</v>
      </c>
      <c r="C3981" s="273">
        <f t="shared" si="656"/>
        <v>268914.70075303363</v>
      </c>
      <c r="D3981" s="273">
        <f t="shared" si="657"/>
        <v>0</v>
      </c>
      <c r="E3981" s="273">
        <f t="shared" si="658"/>
        <v>-3914698.7372179208</v>
      </c>
      <c r="F3981" s="275">
        <f t="shared" si="659"/>
        <v>2</v>
      </c>
      <c r="G3981" s="272">
        <v>11</v>
      </c>
      <c r="H3981" s="275">
        <f t="shared" si="654"/>
        <v>209</v>
      </c>
      <c r="I3981" s="275">
        <f t="shared" si="660"/>
        <v>2</v>
      </c>
      <c r="J3981" s="275">
        <f t="shared" si="661"/>
        <v>1</v>
      </c>
      <c r="K3981" s="273">
        <f t="shared" si="662"/>
        <v>-1.5974130739631409</v>
      </c>
      <c r="L3981" s="273">
        <f t="shared" si="663"/>
        <v>52811702.201622106</v>
      </c>
      <c r="M3981" s="273">
        <f t="shared" si="664"/>
        <v>-293767175.33681375</v>
      </c>
      <c r="N3981" s="273" t="str">
        <f t="shared" si="665"/>
        <v/>
      </c>
      <c r="O3981" s="265"/>
    </row>
    <row r="3982" spans="1:15">
      <c r="A3982" s="285" t="s">
        <v>762</v>
      </c>
      <c r="B3982" s="273">
        <f t="shared" si="655"/>
        <v>-10.234651488932164</v>
      </c>
      <c r="C3982" s="273">
        <f t="shared" si="656"/>
        <v>873980.17920974945</v>
      </c>
      <c r="D3982" s="273">
        <f t="shared" si="657"/>
        <v>0</v>
      </c>
      <c r="E3982" s="273">
        <f t="shared" si="658"/>
        <v>-8944882.5424462613</v>
      </c>
      <c r="F3982" s="275">
        <f t="shared" si="659"/>
        <v>4</v>
      </c>
      <c r="G3982" s="272">
        <v>12</v>
      </c>
      <c r="H3982" s="275">
        <f t="shared" si="654"/>
        <v>408</v>
      </c>
      <c r="I3982" s="275">
        <f t="shared" si="660"/>
        <v>4</v>
      </c>
      <c r="J3982" s="275">
        <f t="shared" si="661"/>
        <v>5</v>
      </c>
      <c r="K3982" s="273">
        <f t="shared" si="662"/>
        <v>-1.5555963935593731</v>
      </c>
      <c r="L3982" s="273">
        <f t="shared" si="663"/>
        <v>56759548.29171285</v>
      </c>
      <c r="M3982" s="273">
        <f t="shared" si="664"/>
        <v>-291558765.26426953</v>
      </c>
      <c r="N3982" s="273" t="str">
        <f t="shared" si="665"/>
        <v/>
      </c>
      <c r="O3982" s="265"/>
    </row>
    <row r="3983" spans="1:15">
      <c r="A3983" s="285" t="s">
        <v>763</v>
      </c>
      <c r="B3983" s="273">
        <f t="shared" si="655"/>
        <v>-7.9405668400733136</v>
      </c>
      <c r="C3983" s="273">
        <f t="shared" si="656"/>
        <v>498689.64829459717</v>
      </c>
      <c r="D3983" s="273">
        <f t="shared" si="657"/>
        <v>0</v>
      </c>
      <c r="E3983" s="273">
        <f t="shared" si="658"/>
        <v>-3959878.4847359015</v>
      </c>
      <c r="F3983" s="275">
        <f t="shared" si="659"/>
        <v>5</v>
      </c>
      <c r="G3983" s="272">
        <v>13</v>
      </c>
      <c r="H3983" s="275">
        <f t="shared" si="654"/>
        <v>508</v>
      </c>
      <c r="I3983" s="275">
        <f t="shared" si="660"/>
        <v>5</v>
      </c>
      <c r="J3983" s="275">
        <f t="shared" si="661"/>
        <v>52</v>
      </c>
      <c r="K3983" s="273">
        <f t="shared" si="662"/>
        <v>-1.5511799139106737</v>
      </c>
      <c r="L3983" s="273">
        <f t="shared" si="663"/>
        <v>57055010.382700026</v>
      </c>
      <c r="M3983" s="273">
        <f t="shared" si="664"/>
        <v>-291308087.8743698</v>
      </c>
      <c r="N3983" s="273" t="str">
        <f t="shared" si="665"/>
        <v/>
      </c>
      <c r="O3983" s="265"/>
    </row>
    <row r="3984" spans="1:15">
      <c r="A3984" s="285" t="s">
        <v>764</v>
      </c>
      <c r="B3984" s="273">
        <f t="shared" si="655"/>
        <v>-5.8873594875964956</v>
      </c>
      <c r="C3984" s="273">
        <f t="shared" si="656"/>
        <v>1541236.9691251323</v>
      </c>
      <c r="D3984" s="273">
        <f t="shared" si="657"/>
        <v>0</v>
      </c>
      <c r="E3984" s="273">
        <f t="shared" si="658"/>
        <v>-9073816.0928133149</v>
      </c>
      <c r="F3984" s="275">
        <f t="shared" si="659"/>
        <v>6</v>
      </c>
      <c r="G3984" s="272">
        <v>14</v>
      </c>
      <c r="H3984" s="275">
        <f t="shared" si="654"/>
        <v>608</v>
      </c>
      <c r="I3984" s="275">
        <f t="shared" si="660"/>
        <v>6</v>
      </c>
      <c r="J3984" s="275">
        <f t="shared" si="661"/>
        <v>18</v>
      </c>
      <c r="K3984" s="273">
        <f t="shared" si="662"/>
        <v>-1.497955527284861</v>
      </c>
      <c r="L3984" s="273">
        <f t="shared" si="663"/>
        <v>57055010.382700026</v>
      </c>
      <c r="M3984" s="273">
        <f t="shared" si="664"/>
        <v>-288271369.9428212</v>
      </c>
      <c r="N3984" s="273" t="str">
        <f t="shared" si="665"/>
        <v/>
      </c>
      <c r="O3984" s="265"/>
    </row>
    <row r="3985" spans="1:15">
      <c r="A3985" s="285" t="s">
        <v>765</v>
      </c>
      <c r="B3985" s="273">
        <f t="shared" si="655"/>
        <v>-1.9061833919371085</v>
      </c>
      <c r="C3985" s="273">
        <f t="shared" si="656"/>
        <v>102166.76329270215</v>
      </c>
      <c r="D3985" s="273">
        <f t="shared" si="657"/>
        <v>0</v>
      </c>
      <c r="E3985" s="273">
        <f t="shared" si="658"/>
        <v>-194748.58739651865</v>
      </c>
      <c r="F3985" s="275">
        <f t="shared" si="659"/>
        <v>10</v>
      </c>
      <c r="G3985" s="272">
        <v>15</v>
      </c>
      <c r="H3985" s="275">
        <f t="shared" si="654"/>
        <v>1005</v>
      </c>
      <c r="I3985" s="275">
        <f t="shared" si="660"/>
        <v>10</v>
      </c>
      <c r="J3985" s="275">
        <f t="shared" si="661"/>
        <v>7</v>
      </c>
      <c r="K3985" s="273">
        <f t="shared" si="662"/>
        <v>-1.3955325154428646</v>
      </c>
      <c r="L3985" s="273">
        <f t="shared" si="663"/>
        <v>57055010.390713349</v>
      </c>
      <c r="M3985" s="273">
        <f t="shared" si="664"/>
        <v>-282427623.93874872</v>
      </c>
      <c r="N3985" s="273" t="str">
        <f t="shared" si="665"/>
        <v/>
      </c>
      <c r="O3985" s="265"/>
    </row>
    <row r="3986" spans="1:15">
      <c r="A3986" s="285" t="s">
        <v>766</v>
      </c>
      <c r="B3986" s="273">
        <f t="shared" si="655"/>
        <v>-2.3275108499462247</v>
      </c>
      <c r="C3986" s="273">
        <f t="shared" si="656"/>
        <v>78753.061605532406</v>
      </c>
      <c r="D3986" s="273">
        <f t="shared" si="657"/>
        <v>0</v>
      </c>
      <c r="E3986" s="273">
        <f t="shared" si="658"/>
        <v>-183298.60535336012</v>
      </c>
      <c r="F3986" s="275">
        <f t="shared" si="659"/>
        <v>8</v>
      </c>
      <c r="G3986" s="272">
        <v>16</v>
      </c>
      <c r="H3986" s="275">
        <f t="shared" si="654"/>
        <v>808</v>
      </c>
      <c r="I3986" s="275">
        <f t="shared" si="660"/>
        <v>8</v>
      </c>
      <c r="J3986" s="275">
        <f t="shared" si="661"/>
        <v>4</v>
      </c>
      <c r="K3986" s="273">
        <f t="shared" si="662"/>
        <v>-1.3282779490351984</v>
      </c>
      <c r="L3986" s="273">
        <f t="shared" si="663"/>
        <v>68881452.285106257</v>
      </c>
      <c r="M3986" s="273">
        <f t="shared" si="664"/>
        <v>-278590413.95353639</v>
      </c>
      <c r="N3986" s="273" t="str">
        <f t="shared" si="665"/>
        <v/>
      </c>
      <c r="O3986" s="265"/>
    </row>
    <row r="3987" spans="1:15">
      <c r="A3987" s="285" t="s">
        <v>767</v>
      </c>
      <c r="B3987" s="273">
        <f t="shared" si="655"/>
        <v>-3.3169237835605081</v>
      </c>
      <c r="C3987" s="273">
        <f t="shared" si="656"/>
        <v>9935.4794623969283</v>
      </c>
      <c r="D3987" s="273">
        <f t="shared" si="657"/>
        <v>0</v>
      </c>
      <c r="E3987" s="273">
        <f t="shared" si="658"/>
        <v>-32955.228129901341</v>
      </c>
      <c r="F3987" s="275">
        <f t="shared" si="659"/>
        <v>7</v>
      </c>
      <c r="G3987" s="272">
        <v>17</v>
      </c>
      <c r="H3987" s="275">
        <f t="shared" si="654"/>
        <v>710</v>
      </c>
      <c r="I3987" s="275">
        <f t="shared" si="660"/>
        <v>7</v>
      </c>
      <c r="J3987" s="275">
        <f t="shared" si="661"/>
        <v>8</v>
      </c>
      <c r="K3987" s="273">
        <f t="shared" si="662"/>
        <v>-1.2518726071588753</v>
      </c>
      <c r="L3987" s="273">
        <f t="shared" si="663"/>
        <v>68881452.292925015</v>
      </c>
      <c r="M3987" s="273">
        <f t="shared" si="664"/>
        <v>-273327503.04275519</v>
      </c>
      <c r="N3987" s="273" t="str">
        <f t="shared" si="665"/>
        <v/>
      </c>
      <c r="O3987" s="265"/>
    </row>
    <row r="3988" spans="1:15">
      <c r="A3988" s="285" t="s">
        <v>768</v>
      </c>
      <c r="B3988" s="273">
        <f t="shared" si="655"/>
        <v>-1.497955527284861</v>
      </c>
      <c r="C3988" s="273">
        <f t="shared" si="656"/>
        <v>0</v>
      </c>
      <c r="D3988" s="273">
        <f t="shared" si="657"/>
        <v>0</v>
      </c>
      <c r="E3988" s="273">
        <f t="shared" si="658"/>
        <v>0</v>
      </c>
      <c r="F3988" s="275">
        <f t="shared" si="659"/>
        <v>14</v>
      </c>
      <c r="G3988" s="272">
        <v>18</v>
      </c>
      <c r="H3988" s="275">
        <f t="shared" si="654"/>
        <v>1404</v>
      </c>
      <c r="I3988" s="275">
        <f t="shared" si="660"/>
        <v>14</v>
      </c>
      <c r="J3988" s="275">
        <f t="shared" si="661"/>
        <v>85</v>
      </c>
      <c r="K3988" s="273">
        <f t="shared" si="662"/>
        <v>-1.0827010462764302</v>
      </c>
      <c r="L3988" s="273">
        <f t="shared" si="663"/>
        <v>69679444.729909599</v>
      </c>
      <c r="M3988" s="273">
        <f t="shared" si="664"/>
        <v>-261674720.24251139</v>
      </c>
      <c r="N3988" s="273" t="str">
        <f t="shared" si="665"/>
        <v/>
      </c>
      <c r="O3988" s="265"/>
    </row>
    <row r="3989" spans="1:15">
      <c r="A3989" s="285" t="s">
        <v>769</v>
      </c>
      <c r="B3989" s="273">
        <f t="shared" si="655"/>
        <v>-36.815073059707053</v>
      </c>
      <c r="C3989" s="273">
        <f t="shared" si="656"/>
        <v>41065.892409350963</v>
      </c>
      <c r="D3989" s="273">
        <f t="shared" si="657"/>
        <v>0</v>
      </c>
      <c r="E3989" s="273">
        <f t="shared" si="658"/>
        <v>-1511843.829312325</v>
      </c>
      <c r="F3989" s="275">
        <f t="shared" si="659"/>
        <v>1</v>
      </c>
      <c r="G3989" s="272">
        <v>19</v>
      </c>
      <c r="H3989" s="275">
        <f t="shared" si="654"/>
        <v>118</v>
      </c>
      <c r="I3989" s="275">
        <f t="shared" si="660"/>
        <v>1</v>
      </c>
      <c r="J3989" s="275">
        <f t="shared" si="661"/>
        <v>9</v>
      </c>
      <c r="K3989" s="273">
        <f t="shared" si="662"/>
        <v>-0.73772845925437436</v>
      </c>
      <c r="L3989" s="273">
        <f t="shared" si="663"/>
        <v>69679444.737699896</v>
      </c>
      <c r="M3989" s="273">
        <f t="shared" si="664"/>
        <v>-237637221.93177414</v>
      </c>
      <c r="N3989" s="273" t="str">
        <f t="shared" si="665"/>
        <v/>
      </c>
      <c r="O3989" s="265"/>
    </row>
    <row r="3990" spans="1:15">
      <c r="A3990" s="285" t="s">
        <v>770</v>
      </c>
      <c r="B3990" s="273">
        <f t="shared" si="655"/>
        <v>0.78720381578930099</v>
      </c>
      <c r="C3990" s="273">
        <f t="shared" si="656"/>
        <v>0</v>
      </c>
      <c r="D3990" s="273">
        <f t="shared" si="657"/>
        <v>0</v>
      </c>
      <c r="E3990" s="273">
        <f t="shared" si="658"/>
        <v>0</v>
      </c>
      <c r="F3990" s="275">
        <f t="shared" si="659"/>
        <v>91</v>
      </c>
      <c r="G3990" s="272">
        <v>20</v>
      </c>
      <c r="H3990" s="275">
        <f t="shared" si="654"/>
        <v>9029</v>
      </c>
      <c r="I3990" s="275">
        <f t="shared" si="660"/>
        <v>91</v>
      </c>
      <c r="J3990" s="275">
        <f t="shared" si="661"/>
        <v>44</v>
      </c>
      <c r="K3990" s="273">
        <f t="shared" si="662"/>
        <v>-0.60006223447784168</v>
      </c>
      <c r="L3990" s="273">
        <f t="shared" si="663"/>
        <v>71668725.721372664</v>
      </c>
      <c r="M3990" s="273">
        <f t="shared" si="664"/>
        <v>-228044715.83020997</v>
      </c>
      <c r="N3990" s="273" t="str">
        <f t="shared" si="665"/>
        <v/>
      </c>
      <c r="O3990" s="265"/>
    </row>
    <row r="3991" spans="1:15">
      <c r="A3991" s="285" t="s">
        <v>771</v>
      </c>
      <c r="B3991" s="273">
        <f t="shared" si="655"/>
        <v>0.71178708684806646</v>
      </c>
      <c r="C3991" s="273">
        <f t="shared" si="656"/>
        <v>0</v>
      </c>
      <c r="D3991" s="273">
        <f t="shared" si="657"/>
        <v>0</v>
      </c>
      <c r="E3991" s="273">
        <f t="shared" si="658"/>
        <v>0</v>
      </c>
      <c r="F3991" s="275">
        <f t="shared" si="659"/>
        <v>88</v>
      </c>
      <c r="G3991" s="272">
        <v>21</v>
      </c>
      <c r="H3991" s="275">
        <f t="shared" si="654"/>
        <v>8733</v>
      </c>
      <c r="I3991" s="275">
        <f t="shared" si="660"/>
        <v>88</v>
      </c>
      <c r="J3991" s="275">
        <f t="shared" si="661"/>
        <v>43</v>
      </c>
      <c r="K3991" s="273">
        <f t="shared" si="662"/>
        <v>-0.5883626595058159</v>
      </c>
      <c r="L3991" s="273">
        <f t="shared" si="663"/>
        <v>71668726.281404525</v>
      </c>
      <c r="M3991" s="273">
        <f t="shared" si="664"/>
        <v>-227206222.20048323</v>
      </c>
      <c r="N3991" s="273" t="str">
        <f t="shared" si="665"/>
        <v/>
      </c>
      <c r="O3991" s="265"/>
    </row>
    <row r="3992" spans="1:15">
      <c r="A3992" s="285" t="s">
        <v>772</v>
      </c>
      <c r="B3992" s="273">
        <f t="shared" si="655"/>
        <v>0.78720381578930099</v>
      </c>
      <c r="C3992" s="273">
        <f t="shared" si="656"/>
        <v>0</v>
      </c>
      <c r="D3992" s="273">
        <f t="shared" si="657"/>
        <v>0</v>
      </c>
      <c r="E3992" s="273">
        <f t="shared" si="658"/>
        <v>0</v>
      </c>
      <c r="F3992" s="275">
        <f t="shared" si="659"/>
        <v>91</v>
      </c>
      <c r="G3992" s="272">
        <v>22</v>
      </c>
      <c r="H3992" s="275">
        <f t="shared" si="654"/>
        <v>9031</v>
      </c>
      <c r="I3992" s="275">
        <f t="shared" si="660"/>
        <v>92</v>
      </c>
      <c r="J3992" s="275">
        <f t="shared" si="661"/>
        <v>45</v>
      </c>
      <c r="K3992" s="273">
        <f t="shared" si="662"/>
        <v>-0.37568768282311654</v>
      </c>
      <c r="L3992" s="273">
        <f t="shared" si="663"/>
        <v>78009341.054515541</v>
      </c>
      <c r="M3992" s="273">
        <f t="shared" si="664"/>
        <v>-211964077.50970677</v>
      </c>
      <c r="N3992" s="273" t="str">
        <f t="shared" si="665"/>
        <v/>
      </c>
      <c r="O3992" s="265"/>
    </row>
    <row r="3993" spans="1:15">
      <c r="A3993" s="285" t="s">
        <v>773</v>
      </c>
      <c r="B3993" s="273">
        <f t="shared" si="655"/>
        <v>0.78720381578930099</v>
      </c>
      <c r="C3993" s="273">
        <f t="shared" si="656"/>
        <v>0</v>
      </c>
      <c r="D3993" s="273">
        <f t="shared" si="657"/>
        <v>0</v>
      </c>
      <c r="E3993" s="273">
        <f t="shared" si="658"/>
        <v>0</v>
      </c>
      <c r="F3993" s="275">
        <f t="shared" si="659"/>
        <v>91</v>
      </c>
      <c r="G3993" s="272">
        <v>23</v>
      </c>
      <c r="H3993" s="275">
        <f t="shared" si="654"/>
        <v>9032</v>
      </c>
      <c r="I3993" s="275">
        <f t="shared" si="660"/>
        <v>93</v>
      </c>
      <c r="J3993" s="275">
        <f t="shared" si="661"/>
        <v>46</v>
      </c>
      <c r="K3993" s="273">
        <f t="shared" si="662"/>
        <v>-0.22122221132186215</v>
      </c>
      <c r="L3993" s="273">
        <f t="shared" si="663"/>
        <v>81706475.599648982</v>
      </c>
      <c r="M3993" s="273">
        <f t="shared" si="664"/>
        <v>-199914327.86221886</v>
      </c>
      <c r="N3993" s="273" t="str">
        <f t="shared" si="665"/>
        <v/>
      </c>
      <c r="O3993" s="265"/>
    </row>
    <row r="3994" spans="1:15">
      <c r="A3994" s="285" t="s">
        <v>774</v>
      </c>
      <c r="B3994" s="273">
        <f t="shared" si="655"/>
        <v>9.6337215953204431</v>
      </c>
      <c r="C3994" s="273">
        <f t="shared" si="656"/>
        <v>0</v>
      </c>
      <c r="D3994" s="273">
        <f t="shared" si="657"/>
        <v>0</v>
      </c>
      <c r="E3994" s="273">
        <f t="shared" si="658"/>
        <v>0</v>
      </c>
      <c r="F3994" s="275">
        <f t="shared" si="659"/>
        <v>98</v>
      </c>
      <c r="G3994" s="272">
        <v>24</v>
      </c>
      <c r="H3994" s="275">
        <f t="shared" si="654"/>
        <v>9726</v>
      </c>
      <c r="I3994" s="275">
        <f t="shared" si="660"/>
        <v>98</v>
      </c>
      <c r="J3994" s="275">
        <f t="shared" si="661"/>
        <v>35</v>
      </c>
      <c r="K3994" s="273">
        <f t="shared" si="662"/>
        <v>-0.16992123025572173</v>
      </c>
      <c r="L3994" s="273">
        <f t="shared" si="663"/>
        <v>88354150.861437932</v>
      </c>
      <c r="M3994" s="273">
        <f t="shared" si="664"/>
        <v>-195722705.50450021</v>
      </c>
      <c r="N3994" s="273" t="str">
        <f t="shared" si="665"/>
        <v/>
      </c>
      <c r="O3994" s="265"/>
    </row>
    <row r="3995" spans="1:15">
      <c r="A3995" s="285" t="s">
        <v>775</v>
      </c>
      <c r="B3995" s="273">
        <f t="shared" si="655"/>
        <v>9.6337215953204431</v>
      </c>
      <c r="C3995" s="273">
        <f t="shared" si="656"/>
        <v>0</v>
      </c>
      <c r="D3995" s="273">
        <f t="shared" si="657"/>
        <v>0</v>
      </c>
      <c r="E3995" s="273">
        <f t="shared" si="658"/>
        <v>0</v>
      </c>
      <c r="F3995" s="275">
        <f t="shared" si="659"/>
        <v>98</v>
      </c>
      <c r="G3995" s="272">
        <v>25</v>
      </c>
      <c r="H3995" s="275">
        <f t="shared" si="654"/>
        <v>9727</v>
      </c>
      <c r="I3995" s="275">
        <f t="shared" si="660"/>
        <v>99</v>
      </c>
      <c r="J3995" s="275">
        <f t="shared" si="661"/>
        <v>38</v>
      </c>
      <c r="K3995" s="273">
        <f t="shared" si="662"/>
        <v>-0.16395019437015651</v>
      </c>
      <c r="L3995" s="273">
        <f t="shared" si="663"/>
        <v>90187884.162214667</v>
      </c>
      <c r="M3995" s="273">
        <f t="shared" si="664"/>
        <v>-195195139.69906792</v>
      </c>
      <c r="N3995" s="273" t="str">
        <f t="shared" si="665"/>
        <v/>
      </c>
      <c r="O3995" s="265"/>
    </row>
    <row r="3996" spans="1:15">
      <c r="A3996" s="285" t="s">
        <v>776</v>
      </c>
      <c r="B3996" s="273">
        <f t="shared" si="655"/>
        <v>0.71178708684806646</v>
      </c>
      <c r="C3996" s="273">
        <f t="shared" si="656"/>
        <v>0</v>
      </c>
      <c r="D3996" s="273">
        <f t="shared" si="657"/>
        <v>0</v>
      </c>
      <c r="E3996" s="273">
        <f t="shared" si="658"/>
        <v>0</v>
      </c>
      <c r="F3996" s="275">
        <f t="shared" si="659"/>
        <v>88</v>
      </c>
      <c r="G3996" s="272">
        <v>26</v>
      </c>
      <c r="H3996" s="275">
        <f t="shared" si="654"/>
        <v>8738</v>
      </c>
      <c r="I3996" s="275">
        <f t="shared" si="660"/>
        <v>89</v>
      </c>
      <c r="J3996" s="275">
        <f t="shared" si="661"/>
        <v>6</v>
      </c>
      <c r="K3996" s="273">
        <f t="shared" si="662"/>
        <v>-0.15764920833940255</v>
      </c>
      <c r="L3996" s="273">
        <f t="shared" si="663"/>
        <v>90361082.356999427</v>
      </c>
      <c r="M3996" s="273">
        <f t="shared" si="664"/>
        <v>-194626867.10081854</v>
      </c>
      <c r="N3996" s="273" t="str">
        <f t="shared" si="665"/>
        <v/>
      </c>
      <c r="O3996" s="265"/>
    </row>
    <row r="3997" spans="1:15">
      <c r="A3997" s="285" t="s">
        <v>777</v>
      </c>
      <c r="B3997" s="273">
        <f t="shared" si="655"/>
        <v>0.71178708684806646</v>
      </c>
      <c r="C3997" s="273">
        <f t="shared" si="656"/>
        <v>0</v>
      </c>
      <c r="D3997" s="273">
        <f t="shared" si="657"/>
        <v>0</v>
      </c>
      <c r="E3997" s="273">
        <f t="shared" si="658"/>
        <v>0</v>
      </c>
      <c r="F3997" s="275">
        <f t="shared" si="659"/>
        <v>88</v>
      </c>
      <c r="G3997" s="272">
        <v>27</v>
      </c>
      <c r="H3997" s="275">
        <f t="shared" si="654"/>
        <v>8739</v>
      </c>
      <c r="I3997" s="275">
        <f t="shared" si="660"/>
        <v>90</v>
      </c>
      <c r="J3997" s="275">
        <f t="shared" si="661"/>
        <v>77</v>
      </c>
      <c r="K3997" s="273">
        <f t="shared" si="662"/>
        <v>-0.15747347968875935</v>
      </c>
      <c r="L3997" s="273">
        <f t="shared" si="663"/>
        <v>92243663.413379982</v>
      </c>
      <c r="M3997" s="273">
        <f t="shared" si="664"/>
        <v>-194610988.0697453</v>
      </c>
      <c r="N3997" s="273" t="str">
        <f t="shared" si="665"/>
        <v/>
      </c>
      <c r="O3997" s="265"/>
    </row>
    <row r="3998" spans="1:15">
      <c r="A3998" s="285" t="s">
        <v>778</v>
      </c>
      <c r="B3998" s="273">
        <f t="shared" si="655"/>
        <v>8.8505101466710254</v>
      </c>
      <c r="C3998" s="273">
        <f t="shared" si="656"/>
        <v>0</v>
      </c>
      <c r="D3998" s="273">
        <f t="shared" si="657"/>
        <v>0</v>
      </c>
      <c r="E3998" s="273">
        <f t="shared" si="658"/>
        <v>0</v>
      </c>
      <c r="F3998" s="275">
        <f t="shared" si="659"/>
        <v>96</v>
      </c>
      <c r="G3998" s="272">
        <v>28</v>
      </c>
      <c r="H3998" s="275">
        <f t="shared" si="654"/>
        <v>9532</v>
      </c>
      <c r="I3998" s="275">
        <f t="shared" si="660"/>
        <v>96</v>
      </c>
      <c r="J3998" s="275">
        <f t="shared" si="661"/>
        <v>76</v>
      </c>
      <c r="K3998" s="273">
        <f t="shared" si="662"/>
        <v>-0.15441312704351895</v>
      </c>
      <c r="L3998" s="273">
        <f t="shared" si="663"/>
        <v>92243663.942301646</v>
      </c>
      <c r="M3998" s="273">
        <f t="shared" si="664"/>
        <v>-194328689.93041149</v>
      </c>
      <c r="N3998" s="273" t="str">
        <f t="shared" si="665"/>
        <v/>
      </c>
      <c r="O3998" s="265"/>
    </row>
    <row r="3999" spans="1:15">
      <c r="A3999" s="285" t="s">
        <v>779</v>
      </c>
      <c r="B3999" s="273">
        <f t="shared" si="655"/>
        <v>8.8505101466710254</v>
      </c>
      <c r="C3999" s="273">
        <f t="shared" si="656"/>
        <v>0</v>
      </c>
      <c r="D3999" s="273">
        <f t="shared" si="657"/>
        <v>0</v>
      </c>
      <c r="E3999" s="273">
        <f t="shared" si="658"/>
        <v>0</v>
      </c>
      <c r="F3999" s="275">
        <f t="shared" si="659"/>
        <v>96</v>
      </c>
      <c r="G3999" s="272">
        <v>29</v>
      </c>
      <c r="H3999" s="275">
        <f t="shared" si="654"/>
        <v>9533</v>
      </c>
      <c r="I3999" s="275">
        <f t="shared" si="660"/>
        <v>97</v>
      </c>
      <c r="J3999" s="275">
        <f t="shared" si="661"/>
        <v>3</v>
      </c>
      <c r="K3999" s="273">
        <f t="shared" si="662"/>
        <v>-0.14887893845380923</v>
      </c>
      <c r="L3999" s="273">
        <f t="shared" si="663"/>
        <v>92703261.025917426</v>
      </c>
      <c r="M3999" s="273">
        <f t="shared" si="664"/>
        <v>-193818196.097949</v>
      </c>
      <c r="N3999" s="273" t="str">
        <f t="shared" si="665"/>
        <v/>
      </c>
      <c r="O3999" s="265"/>
    </row>
    <row r="4000" spans="1:15">
      <c r="A4000" s="285" t="s">
        <v>780</v>
      </c>
      <c r="B4000" s="273">
        <f t="shared" si="655"/>
        <v>0.45356433543398189</v>
      </c>
      <c r="C4000" s="273">
        <f t="shared" si="656"/>
        <v>0</v>
      </c>
      <c r="D4000" s="273">
        <f t="shared" si="657"/>
        <v>0</v>
      </c>
      <c r="E4000" s="273">
        <f t="shared" si="658"/>
        <v>0</v>
      </c>
      <c r="F4000" s="275">
        <f t="shared" si="659"/>
        <v>86</v>
      </c>
      <c r="G4000" s="272">
        <v>30</v>
      </c>
      <c r="H4000" s="275">
        <f t="shared" si="654"/>
        <v>8544</v>
      </c>
      <c r="I4000" s="275">
        <f t="shared" si="660"/>
        <v>86</v>
      </c>
      <c r="J4000" s="275">
        <f t="shared" si="661"/>
        <v>40</v>
      </c>
      <c r="K4000" s="273">
        <f t="shared" si="662"/>
        <v>-0.13508531590967113</v>
      </c>
      <c r="L4000" s="273">
        <f t="shared" si="663"/>
        <v>92703261.027904108</v>
      </c>
      <c r="M4000" s="273">
        <f t="shared" si="664"/>
        <v>-192539482.30674678</v>
      </c>
      <c r="N4000" s="273" t="str">
        <f t="shared" si="665"/>
        <v/>
      </c>
      <c r="O4000" s="265"/>
    </row>
    <row r="4001" spans="1:15">
      <c r="A4001" s="285" t="s">
        <v>781</v>
      </c>
      <c r="B4001" s="273">
        <f t="shared" si="655"/>
        <v>0.45356433543398189</v>
      </c>
      <c r="C4001" s="273">
        <f t="shared" si="656"/>
        <v>0</v>
      </c>
      <c r="D4001" s="273">
        <f t="shared" si="657"/>
        <v>0</v>
      </c>
      <c r="E4001" s="273">
        <f t="shared" si="658"/>
        <v>0</v>
      </c>
      <c r="F4001" s="275">
        <f t="shared" si="659"/>
        <v>86</v>
      </c>
      <c r="G4001" s="272">
        <v>31</v>
      </c>
      <c r="H4001" s="275">
        <f t="shared" si="654"/>
        <v>8545</v>
      </c>
      <c r="I4001" s="275">
        <f t="shared" si="660"/>
        <v>87</v>
      </c>
      <c r="J4001" s="275">
        <f t="shared" si="661"/>
        <v>41</v>
      </c>
      <c r="K4001" s="273">
        <f t="shared" si="662"/>
        <v>-0.12019274783534691</v>
      </c>
      <c r="L4001" s="273">
        <f t="shared" si="663"/>
        <v>92703261.03008534</v>
      </c>
      <c r="M4001" s="273">
        <f t="shared" si="664"/>
        <v>-191158892.68117687</v>
      </c>
      <c r="N4001" s="273" t="str">
        <f t="shared" si="665"/>
        <v/>
      </c>
      <c r="O4001" s="265"/>
    </row>
    <row r="4002" spans="1:15">
      <c r="A4002" s="285" t="s">
        <v>782</v>
      </c>
      <c r="B4002" s="273">
        <f t="shared" si="655"/>
        <v>6.1568097408153033</v>
      </c>
      <c r="C4002" s="273">
        <f t="shared" si="656"/>
        <v>0</v>
      </c>
      <c r="D4002" s="273">
        <f t="shared" si="657"/>
        <v>0</v>
      </c>
      <c r="E4002" s="273">
        <f t="shared" si="658"/>
        <v>0</v>
      </c>
      <c r="F4002" s="275">
        <f t="shared" si="659"/>
        <v>94</v>
      </c>
      <c r="G4002" s="272">
        <v>32</v>
      </c>
      <c r="H4002" s="275">
        <f t="shared" si="654"/>
        <v>9338</v>
      </c>
      <c r="I4002" s="275">
        <f t="shared" si="660"/>
        <v>94</v>
      </c>
      <c r="J4002" s="275">
        <f t="shared" si="661"/>
        <v>47</v>
      </c>
      <c r="K4002" s="273">
        <f t="shared" si="662"/>
        <v>-0.11186440660962906</v>
      </c>
      <c r="L4002" s="273">
        <f t="shared" si="663"/>
        <v>103677161.24676937</v>
      </c>
      <c r="M4002" s="273">
        <f t="shared" si="664"/>
        <v>-190386828.29058152</v>
      </c>
      <c r="N4002" s="273" t="str">
        <f t="shared" si="665"/>
        <v/>
      </c>
      <c r="O4002" s="265"/>
    </row>
    <row r="4003" spans="1:15">
      <c r="A4003" s="285" t="s">
        <v>783</v>
      </c>
      <c r="B4003" s="273">
        <f t="shared" si="655"/>
        <v>6.1568097408153033</v>
      </c>
      <c r="C4003" s="273">
        <f t="shared" si="656"/>
        <v>0</v>
      </c>
      <c r="D4003" s="273">
        <f t="shared" si="657"/>
        <v>0</v>
      </c>
      <c r="E4003" s="273">
        <f t="shared" si="658"/>
        <v>0</v>
      </c>
      <c r="F4003" s="275">
        <f t="shared" si="659"/>
        <v>94</v>
      </c>
      <c r="G4003" s="272">
        <v>33</v>
      </c>
      <c r="H4003" s="275">
        <f t="shared" si="654"/>
        <v>9339</v>
      </c>
      <c r="I4003" s="275">
        <f t="shared" si="660"/>
        <v>95</v>
      </c>
      <c r="J4003" s="275">
        <f t="shared" si="661"/>
        <v>78</v>
      </c>
      <c r="K4003" s="273">
        <f t="shared" si="662"/>
        <v>-0.10451768300838116</v>
      </c>
      <c r="L4003" s="273">
        <f t="shared" si="663"/>
        <v>109257394.65489902</v>
      </c>
      <c r="M4003" s="273">
        <f t="shared" si="664"/>
        <v>-189625140.8431395</v>
      </c>
      <c r="N4003" s="273" t="str">
        <f t="shared" si="665"/>
        <v/>
      </c>
      <c r="O4003" s="265"/>
    </row>
    <row r="4004" spans="1:15">
      <c r="A4004" s="285" t="s">
        <v>784</v>
      </c>
      <c r="B4004" s="273">
        <f t="shared" ref="B4004:B4036" si="666">C3843</f>
        <v>0</v>
      </c>
      <c r="C4004" s="273">
        <f t="shared" ref="C4004:C4036" si="667">C3887</f>
        <v>0</v>
      </c>
      <c r="D4004" s="273">
        <f t="shared" si="657"/>
        <v>0</v>
      </c>
      <c r="E4004" s="273">
        <f t="shared" si="658"/>
        <v>0</v>
      </c>
      <c r="F4004" s="275">
        <f t="shared" si="659"/>
        <v>37</v>
      </c>
      <c r="G4004" s="272">
        <v>34</v>
      </c>
      <c r="H4004" s="275">
        <f t="shared" si="654"/>
        <v>3697</v>
      </c>
      <c r="I4004" s="275">
        <f t="shared" si="660"/>
        <v>37</v>
      </c>
      <c r="J4004" s="275">
        <f t="shared" si="661"/>
        <v>79</v>
      </c>
      <c r="K4004" s="273">
        <f t="shared" si="662"/>
        <v>-7.1665506969316922E-2</v>
      </c>
      <c r="L4004" s="273">
        <f t="shared" si="663"/>
        <v>112662876.35405298</v>
      </c>
      <c r="M4004" s="273">
        <f t="shared" si="664"/>
        <v>-186035797.68036723</v>
      </c>
      <c r="N4004" s="273" t="str">
        <f t="shared" si="665"/>
        <v/>
      </c>
      <c r="O4004" s="265"/>
    </row>
    <row r="4005" spans="1:15">
      <c r="A4005" s="285" t="s">
        <v>785</v>
      </c>
      <c r="B4005" s="273">
        <f t="shared" si="666"/>
        <v>-0.16992123025572173</v>
      </c>
      <c r="C4005" s="273">
        <f t="shared" si="667"/>
        <v>6647675.2617889503</v>
      </c>
      <c r="D4005" s="273">
        <f t="shared" si="657"/>
        <v>0</v>
      </c>
      <c r="E4005" s="273">
        <f t="shared" si="658"/>
        <v>-1129581.1588237055</v>
      </c>
      <c r="F4005" s="275">
        <f t="shared" si="659"/>
        <v>24</v>
      </c>
      <c r="G4005" s="272">
        <v>35</v>
      </c>
      <c r="H4005" s="275">
        <f t="shared" si="654"/>
        <v>2411</v>
      </c>
      <c r="I4005" s="275">
        <f t="shared" si="660"/>
        <v>24</v>
      </c>
      <c r="J4005" s="275">
        <f t="shared" si="661"/>
        <v>42</v>
      </c>
      <c r="K4005" s="273">
        <f t="shared" si="662"/>
        <v>-5.9619450949563994E-2</v>
      </c>
      <c r="L4005" s="273">
        <f t="shared" si="663"/>
        <v>112662876.35626268</v>
      </c>
      <c r="M4005" s="273">
        <f t="shared" si="664"/>
        <v>-184678654.3604598</v>
      </c>
      <c r="N4005" s="273" t="str">
        <f t="shared" si="665"/>
        <v/>
      </c>
      <c r="O4005" s="265"/>
    </row>
    <row r="4006" spans="1:15">
      <c r="A4006" s="285" t="s">
        <v>786</v>
      </c>
      <c r="B4006" s="273">
        <f t="shared" si="666"/>
        <v>0</v>
      </c>
      <c r="C4006" s="273">
        <f t="shared" si="667"/>
        <v>0</v>
      </c>
      <c r="D4006" s="273">
        <f t="shared" si="657"/>
        <v>0</v>
      </c>
      <c r="E4006" s="273">
        <f t="shared" si="658"/>
        <v>0</v>
      </c>
      <c r="F4006" s="275">
        <f t="shared" si="659"/>
        <v>37</v>
      </c>
      <c r="G4006" s="272">
        <v>36</v>
      </c>
      <c r="H4006" s="275">
        <f t="shared" si="654"/>
        <v>3699</v>
      </c>
      <c r="I4006" s="275">
        <f t="shared" si="660"/>
        <v>38</v>
      </c>
      <c r="J4006" s="275">
        <f t="shared" si="661"/>
        <v>80</v>
      </c>
      <c r="K4006" s="273">
        <f t="shared" si="662"/>
        <v>-4.5900060447657279E-2</v>
      </c>
      <c r="L4006" s="273">
        <f t="shared" si="663"/>
        <v>124555325.97394142</v>
      </c>
      <c r="M4006" s="273">
        <f t="shared" si="664"/>
        <v>-183132988.3646602</v>
      </c>
      <c r="N4006" s="273" t="str">
        <f t="shared" si="665"/>
        <v/>
      </c>
      <c r="O4006" s="265"/>
    </row>
    <row r="4007" spans="1:15">
      <c r="A4007" s="285" t="s">
        <v>787</v>
      </c>
      <c r="B4007" s="273">
        <f t="shared" si="666"/>
        <v>0</v>
      </c>
      <c r="C4007" s="273">
        <f t="shared" si="667"/>
        <v>0</v>
      </c>
      <c r="D4007" s="273">
        <f t="shared" si="657"/>
        <v>0</v>
      </c>
      <c r="E4007" s="273">
        <f t="shared" si="658"/>
        <v>0</v>
      </c>
      <c r="F4007" s="275">
        <f t="shared" si="659"/>
        <v>37</v>
      </c>
      <c r="G4007" s="272">
        <v>37</v>
      </c>
      <c r="H4007" s="275">
        <f t="shared" si="654"/>
        <v>3700</v>
      </c>
      <c r="I4007" s="275">
        <f t="shared" si="660"/>
        <v>39</v>
      </c>
      <c r="J4007" s="275">
        <f t="shared" si="661"/>
        <v>34</v>
      </c>
      <c r="K4007" s="273">
        <f t="shared" si="662"/>
        <v>0</v>
      </c>
      <c r="L4007" s="273">
        <f t="shared" si="663"/>
        <v>124555325.97394142</v>
      </c>
      <c r="M4007" s="273">
        <f t="shared" si="664"/>
        <v>-177415891.37337863</v>
      </c>
      <c r="N4007" s="273" t="str">
        <f t="shared" si="665"/>
        <v/>
      </c>
      <c r="O4007" s="265"/>
    </row>
    <row r="4008" spans="1:15">
      <c r="A4008" s="285" t="s">
        <v>788</v>
      </c>
      <c r="B4008" s="273">
        <f t="shared" si="666"/>
        <v>-0.16395019437015651</v>
      </c>
      <c r="C4008" s="273">
        <f t="shared" si="667"/>
        <v>1833733.3007767368</v>
      </c>
      <c r="D4008" s="273">
        <f t="shared" si="657"/>
        <v>0</v>
      </c>
      <c r="E4008" s="273">
        <f t="shared" si="658"/>
        <v>-300640.93108537467</v>
      </c>
      <c r="F4008" s="275">
        <f t="shared" si="659"/>
        <v>25</v>
      </c>
      <c r="G4008" s="272">
        <v>38</v>
      </c>
      <c r="H4008" s="275">
        <f t="shared" si="654"/>
        <v>2513</v>
      </c>
      <c r="I4008" s="275">
        <f t="shared" si="660"/>
        <v>25</v>
      </c>
      <c r="J4008" s="275">
        <f t="shared" si="661"/>
        <v>36</v>
      </c>
      <c r="K4008" s="273">
        <f t="shared" si="662"/>
        <v>0</v>
      </c>
      <c r="L4008" s="273">
        <f t="shared" si="663"/>
        <v>124555325.97394142</v>
      </c>
      <c r="M4008" s="273">
        <f t="shared" si="664"/>
        <v>-177415891.37337863</v>
      </c>
      <c r="N4008" s="273" t="str">
        <f t="shared" si="665"/>
        <v/>
      </c>
      <c r="O4008" s="265"/>
    </row>
    <row r="4009" spans="1:15">
      <c r="A4009" s="285" t="s">
        <v>789</v>
      </c>
      <c r="B4009" s="273">
        <f t="shared" si="666"/>
        <v>0</v>
      </c>
      <c r="C4009" s="273">
        <f t="shared" si="667"/>
        <v>0</v>
      </c>
      <c r="D4009" s="273">
        <f t="shared" si="657"/>
        <v>0</v>
      </c>
      <c r="E4009" s="273">
        <f t="shared" si="658"/>
        <v>0</v>
      </c>
      <c r="F4009" s="275">
        <f t="shared" si="659"/>
        <v>37</v>
      </c>
      <c r="G4009" s="272">
        <v>39</v>
      </c>
      <c r="H4009" s="275">
        <f t="shared" si="654"/>
        <v>3702</v>
      </c>
      <c r="I4009" s="275">
        <f t="shared" si="660"/>
        <v>40</v>
      </c>
      <c r="J4009" s="275">
        <f t="shared" si="661"/>
        <v>37</v>
      </c>
      <c r="K4009" s="273">
        <f t="shared" si="662"/>
        <v>0</v>
      </c>
      <c r="L4009" s="273">
        <f t="shared" si="663"/>
        <v>124555325.97394142</v>
      </c>
      <c r="M4009" s="273">
        <f t="shared" si="664"/>
        <v>-177415891.37337863</v>
      </c>
      <c r="N4009" s="273" t="str">
        <f t="shared" si="665"/>
        <v/>
      </c>
      <c r="O4009" s="265"/>
    </row>
    <row r="4010" spans="1:15">
      <c r="A4010" s="285" t="s">
        <v>790</v>
      </c>
      <c r="B4010" s="273">
        <f t="shared" si="666"/>
        <v>-0.13508531590967113</v>
      </c>
      <c r="C4010" s="273">
        <f t="shared" si="667"/>
        <v>1.9866795975840208E-3</v>
      </c>
      <c r="D4010" s="273">
        <f t="shared" si="657"/>
        <v>0</v>
      </c>
      <c r="E4010" s="273">
        <f t="shared" si="658"/>
        <v>-2.6837124105093577E-4</v>
      </c>
      <c r="F4010" s="275">
        <f t="shared" si="659"/>
        <v>30</v>
      </c>
      <c r="G4010" s="272">
        <v>40</v>
      </c>
      <c r="H4010" s="275">
        <f t="shared" si="654"/>
        <v>3010</v>
      </c>
      <c r="I4010" s="275">
        <f t="shared" si="660"/>
        <v>30</v>
      </c>
      <c r="J4010" s="275">
        <f t="shared" si="661"/>
        <v>39</v>
      </c>
      <c r="K4010" s="273">
        <f t="shared" si="662"/>
        <v>0</v>
      </c>
      <c r="L4010" s="273">
        <f t="shared" si="663"/>
        <v>124555325.97394142</v>
      </c>
      <c r="M4010" s="273">
        <f t="shared" si="664"/>
        <v>-177415891.37337863</v>
      </c>
      <c r="N4010" s="273" t="str">
        <f t="shared" si="665"/>
        <v/>
      </c>
      <c r="O4010" s="265"/>
    </row>
    <row r="4011" spans="1:15">
      <c r="A4011" s="285" t="s">
        <v>791</v>
      </c>
      <c r="B4011" s="273">
        <f t="shared" si="666"/>
        <v>-0.12019274783534691</v>
      </c>
      <c r="C4011" s="273">
        <f t="shared" si="667"/>
        <v>2.1812367518284151E-3</v>
      </c>
      <c r="D4011" s="273">
        <f t="shared" si="657"/>
        <v>0</v>
      </c>
      <c r="E4011" s="273">
        <f t="shared" si="658"/>
        <v>-2.6216883888170386E-4</v>
      </c>
      <c r="F4011" s="275">
        <f t="shared" si="659"/>
        <v>31</v>
      </c>
      <c r="G4011" s="272">
        <v>41</v>
      </c>
      <c r="H4011" s="275">
        <f t="shared" si="654"/>
        <v>3110</v>
      </c>
      <c r="I4011" s="275">
        <f t="shared" si="660"/>
        <v>31</v>
      </c>
      <c r="J4011" s="275">
        <f t="shared" si="661"/>
        <v>48</v>
      </c>
      <c r="K4011" s="273">
        <f t="shared" si="662"/>
        <v>0</v>
      </c>
      <c r="L4011" s="273">
        <f t="shared" si="663"/>
        <v>124555325.97394142</v>
      </c>
      <c r="M4011" s="273">
        <f t="shared" si="664"/>
        <v>-177415891.37337863</v>
      </c>
      <c r="N4011" s="273" t="str">
        <f t="shared" si="665"/>
        <v/>
      </c>
      <c r="O4011" s="265"/>
    </row>
    <row r="4012" spans="1:15">
      <c r="A4012" s="285" t="s">
        <v>792</v>
      </c>
      <c r="B4012" s="273">
        <f t="shared" si="666"/>
        <v>-5.9619450949563994E-2</v>
      </c>
      <c r="C4012" s="273">
        <f t="shared" si="667"/>
        <v>2.2097046643674845E-3</v>
      </c>
      <c r="D4012" s="273">
        <f t="shared" si="657"/>
        <v>0</v>
      </c>
      <c r="E4012" s="273">
        <f t="shared" si="658"/>
        <v>-1.3174137885028E-4</v>
      </c>
      <c r="F4012" s="275">
        <f t="shared" si="659"/>
        <v>35</v>
      </c>
      <c r="G4012" s="272">
        <v>42</v>
      </c>
      <c r="H4012" s="275">
        <f t="shared" si="654"/>
        <v>3507</v>
      </c>
      <c r="I4012" s="275">
        <f t="shared" si="660"/>
        <v>35</v>
      </c>
      <c r="J4012" s="275">
        <f t="shared" si="661"/>
        <v>49</v>
      </c>
      <c r="K4012" s="273">
        <f t="shared" si="662"/>
        <v>0</v>
      </c>
      <c r="L4012" s="273">
        <f t="shared" si="663"/>
        <v>124555325.97394142</v>
      </c>
      <c r="M4012" s="273">
        <f t="shared" si="664"/>
        <v>-177415891.37337863</v>
      </c>
      <c r="N4012" s="273" t="str">
        <f t="shared" si="665"/>
        <v/>
      </c>
      <c r="O4012" s="265"/>
    </row>
    <row r="4013" spans="1:15">
      <c r="A4013" s="285" t="s">
        <v>793</v>
      </c>
      <c r="B4013" s="273">
        <f t="shared" si="666"/>
        <v>-0.5883626595058159</v>
      </c>
      <c r="C4013" s="273">
        <f t="shared" si="667"/>
        <v>0.56003186010638295</v>
      </c>
      <c r="D4013" s="273">
        <f t="shared" si="657"/>
        <v>0</v>
      </c>
      <c r="E4013" s="273">
        <f t="shared" si="658"/>
        <v>-0.32950183462018051</v>
      </c>
      <c r="F4013" s="275">
        <f t="shared" si="659"/>
        <v>21</v>
      </c>
      <c r="G4013" s="272">
        <v>43</v>
      </c>
      <c r="H4013" s="275">
        <f t="shared" si="654"/>
        <v>2122</v>
      </c>
      <c r="I4013" s="275">
        <f t="shared" si="660"/>
        <v>21</v>
      </c>
      <c r="J4013" s="275">
        <f t="shared" si="661"/>
        <v>50</v>
      </c>
      <c r="K4013" s="273">
        <f t="shared" si="662"/>
        <v>0</v>
      </c>
      <c r="L4013" s="273">
        <f t="shared" si="663"/>
        <v>124555325.97394142</v>
      </c>
      <c r="M4013" s="273">
        <f t="shared" si="664"/>
        <v>-177415891.37337863</v>
      </c>
      <c r="N4013" s="273" t="str">
        <f t="shared" si="665"/>
        <v/>
      </c>
      <c r="O4013" s="265"/>
    </row>
    <row r="4014" spans="1:15">
      <c r="A4014" s="285" t="s">
        <v>794</v>
      </c>
      <c r="B4014" s="273">
        <f t="shared" si="666"/>
        <v>-0.60006223447784168</v>
      </c>
      <c r="C4014" s="273">
        <f t="shared" si="667"/>
        <v>1989280.9836727716</v>
      </c>
      <c r="D4014" s="273">
        <f t="shared" si="657"/>
        <v>0</v>
      </c>
      <c r="E4014" s="273">
        <f t="shared" si="658"/>
        <v>-1193692.3920669623</v>
      </c>
      <c r="F4014" s="275">
        <f t="shared" si="659"/>
        <v>20</v>
      </c>
      <c r="G4014" s="272">
        <v>44</v>
      </c>
      <c r="H4014" s="275">
        <f t="shared" si="654"/>
        <v>2024</v>
      </c>
      <c r="I4014" s="275">
        <f t="shared" si="660"/>
        <v>20</v>
      </c>
      <c r="J4014" s="275">
        <f t="shared" si="661"/>
        <v>51</v>
      </c>
      <c r="K4014" s="273">
        <f t="shared" si="662"/>
        <v>0</v>
      </c>
      <c r="L4014" s="273">
        <f t="shared" si="663"/>
        <v>124555325.97394142</v>
      </c>
      <c r="M4014" s="273">
        <f t="shared" si="664"/>
        <v>-177415891.37337863</v>
      </c>
      <c r="N4014" s="273" t="str">
        <f t="shared" si="665"/>
        <v/>
      </c>
      <c r="O4014" s="265"/>
    </row>
    <row r="4015" spans="1:15">
      <c r="A4015" s="285" t="s">
        <v>795</v>
      </c>
      <c r="B4015" s="273">
        <f t="shared" si="666"/>
        <v>-0.37568768282311654</v>
      </c>
      <c r="C4015" s="273">
        <f t="shared" si="667"/>
        <v>6340614.7731110174</v>
      </c>
      <c r="D4015" s="273">
        <f t="shared" si="657"/>
        <v>0</v>
      </c>
      <c r="E4015" s="273">
        <f t="shared" si="658"/>
        <v>-2382090.8717840989</v>
      </c>
      <c r="F4015" s="275">
        <f t="shared" si="659"/>
        <v>22</v>
      </c>
      <c r="G4015" s="272">
        <v>45</v>
      </c>
      <c r="H4015" s="275">
        <f t="shared" si="654"/>
        <v>2223</v>
      </c>
      <c r="I4015" s="275">
        <f t="shared" si="660"/>
        <v>22</v>
      </c>
      <c r="J4015" s="275">
        <f t="shared" si="661"/>
        <v>53</v>
      </c>
      <c r="K4015" s="273">
        <f t="shared" si="662"/>
        <v>0</v>
      </c>
      <c r="L4015" s="273">
        <f t="shared" si="663"/>
        <v>124555325.97394142</v>
      </c>
      <c r="M4015" s="273">
        <f t="shared" si="664"/>
        <v>-177415891.37337863</v>
      </c>
      <c r="N4015" s="273" t="str">
        <f t="shared" si="665"/>
        <v/>
      </c>
      <c r="O4015" s="265"/>
    </row>
    <row r="4016" spans="1:15">
      <c r="A4016" s="285" t="s">
        <v>796</v>
      </c>
      <c r="B4016" s="273">
        <f t="shared" si="666"/>
        <v>-0.22122221132186215</v>
      </c>
      <c r="C4016" s="273">
        <f t="shared" si="667"/>
        <v>3697134.5451334356</v>
      </c>
      <c r="D4016" s="273">
        <f t="shared" si="657"/>
        <v>0</v>
      </c>
      <c r="E4016" s="273">
        <f t="shared" si="658"/>
        <v>-817888.27962886554</v>
      </c>
      <c r="F4016" s="275">
        <f t="shared" si="659"/>
        <v>23</v>
      </c>
      <c r="G4016" s="272">
        <v>46</v>
      </c>
      <c r="H4016" s="275">
        <f t="shared" si="654"/>
        <v>2323</v>
      </c>
      <c r="I4016" s="275">
        <f t="shared" si="660"/>
        <v>23</v>
      </c>
      <c r="J4016" s="275">
        <f t="shared" si="661"/>
        <v>54</v>
      </c>
      <c r="K4016" s="273">
        <f t="shared" si="662"/>
        <v>0</v>
      </c>
      <c r="L4016" s="273">
        <f t="shared" si="663"/>
        <v>124555325.97394142</v>
      </c>
      <c r="M4016" s="273">
        <f t="shared" si="664"/>
        <v>-177415891.37337863</v>
      </c>
      <c r="N4016" s="273" t="str">
        <f t="shared" si="665"/>
        <v/>
      </c>
      <c r="O4016" s="265"/>
    </row>
    <row r="4017" spans="1:15">
      <c r="A4017" s="285" t="s">
        <v>797</v>
      </c>
      <c r="B4017" s="273">
        <f t="shared" si="666"/>
        <v>-0.11186440660962906</v>
      </c>
      <c r="C4017" s="273">
        <f t="shared" si="667"/>
        <v>10973900.216684032</v>
      </c>
      <c r="D4017" s="273">
        <f t="shared" si="657"/>
        <v>0</v>
      </c>
      <c r="E4017" s="273">
        <f t="shared" si="658"/>
        <v>-1227588.835932639</v>
      </c>
      <c r="F4017" s="275">
        <f t="shared" si="659"/>
        <v>32</v>
      </c>
      <c r="G4017" s="272">
        <v>47</v>
      </c>
      <c r="H4017" s="275">
        <f t="shared" si="654"/>
        <v>3215</v>
      </c>
      <c r="I4017" s="275">
        <f t="shared" si="660"/>
        <v>32</v>
      </c>
      <c r="J4017" s="275">
        <f t="shared" si="661"/>
        <v>55</v>
      </c>
      <c r="K4017" s="273">
        <f t="shared" si="662"/>
        <v>0</v>
      </c>
      <c r="L4017" s="273">
        <f t="shared" si="663"/>
        <v>124555325.97394142</v>
      </c>
      <c r="M4017" s="273">
        <f t="shared" si="664"/>
        <v>-177415891.37337863</v>
      </c>
      <c r="N4017" s="273" t="str">
        <f t="shared" si="665"/>
        <v/>
      </c>
      <c r="O4017" s="265"/>
    </row>
    <row r="4018" spans="1:15">
      <c r="A4018" s="285" t="s">
        <v>798</v>
      </c>
      <c r="B4018" s="273">
        <f t="shared" si="666"/>
        <v>0</v>
      </c>
      <c r="C4018" s="273">
        <f t="shared" si="667"/>
        <v>0</v>
      </c>
      <c r="D4018" s="273">
        <f t="shared" si="657"/>
        <v>0</v>
      </c>
      <c r="E4018" s="273">
        <f t="shared" si="658"/>
        <v>0</v>
      </c>
      <c r="F4018" s="275">
        <f t="shared" si="659"/>
        <v>37</v>
      </c>
      <c r="G4018" s="272">
        <v>48</v>
      </c>
      <c r="H4018" s="275">
        <f t="shared" si="654"/>
        <v>3711</v>
      </c>
      <c r="I4018" s="275">
        <f t="shared" si="660"/>
        <v>41</v>
      </c>
      <c r="J4018" s="275">
        <f t="shared" si="661"/>
        <v>56</v>
      </c>
      <c r="K4018" s="273">
        <f t="shared" si="662"/>
        <v>0</v>
      </c>
      <c r="L4018" s="273">
        <f t="shared" si="663"/>
        <v>124555325.97394142</v>
      </c>
      <c r="M4018" s="273">
        <f t="shared" si="664"/>
        <v>-177415891.37337863</v>
      </c>
      <c r="N4018" s="273" t="str">
        <f t="shared" si="665"/>
        <v/>
      </c>
      <c r="O4018" s="265"/>
    </row>
    <row r="4019" spans="1:15">
      <c r="A4019" s="285" t="s">
        <v>799</v>
      </c>
      <c r="B4019" s="273">
        <f t="shared" si="666"/>
        <v>0</v>
      </c>
      <c r="C4019" s="273">
        <f t="shared" si="667"/>
        <v>0</v>
      </c>
      <c r="D4019" s="273">
        <f t="shared" si="657"/>
        <v>0</v>
      </c>
      <c r="E4019" s="273">
        <f t="shared" si="658"/>
        <v>0</v>
      </c>
      <c r="F4019" s="275">
        <f t="shared" si="659"/>
        <v>37</v>
      </c>
      <c r="G4019" s="272">
        <v>49</v>
      </c>
      <c r="H4019" s="275">
        <f t="shared" si="654"/>
        <v>3712</v>
      </c>
      <c r="I4019" s="275">
        <f t="shared" si="660"/>
        <v>42</v>
      </c>
      <c r="J4019" s="275">
        <f t="shared" si="661"/>
        <v>59</v>
      </c>
      <c r="K4019" s="273">
        <f t="shared" si="662"/>
        <v>0</v>
      </c>
      <c r="L4019" s="273">
        <f t="shared" si="663"/>
        <v>124555325.97394142</v>
      </c>
      <c r="M4019" s="273">
        <f t="shared" si="664"/>
        <v>-177415891.37337863</v>
      </c>
      <c r="N4019" s="273" t="str">
        <f t="shared" si="665"/>
        <v/>
      </c>
      <c r="O4019" s="265"/>
    </row>
    <row r="4020" spans="1:15">
      <c r="A4020" s="285" t="s">
        <v>800</v>
      </c>
      <c r="B4020" s="273">
        <f t="shared" si="666"/>
        <v>0</v>
      </c>
      <c r="C4020" s="273">
        <f t="shared" si="667"/>
        <v>0</v>
      </c>
      <c r="D4020" s="273">
        <f t="shared" si="657"/>
        <v>0</v>
      </c>
      <c r="E4020" s="273">
        <f t="shared" si="658"/>
        <v>0</v>
      </c>
      <c r="F4020" s="275">
        <f t="shared" si="659"/>
        <v>37</v>
      </c>
      <c r="G4020" s="272">
        <v>50</v>
      </c>
      <c r="H4020" s="275">
        <f t="shared" si="654"/>
        <v>3713</v>
      </c>
      <c r="I4020" s="275">
        <f t="shared" si="660"/>
        <v>43</v>
      </c>
      <c r="J4020" s="275">
        <f t="shared" si="661"/>
        <v>60</v>
      </c>
      <c r="K4020" s="273">
        <f t="shared" si="662"/>
        <v>0</v>
      </c>
      <c r="L4020" s="273">
        <f t="shared" si="663"/>
        <v>124555325.97394142</v>
      </c>
      <c r="M4020" s="273">
        <f t="shared" si="664"/>
        <v>-177415891.37337863</v>
      </c>
      <c r="N4020" s="273" t="str">
        <f t="shared" si="665"/>
        <v/>
      </c>
      <c r="O4020" s="265"/>
    </row>
    <row r="4021" spans="1:15">
      <c r="A4021" s="285" t="s">
        <v>801</v>
      </c>
      <c r="B4021" s="273">
        <f t="shared" si="666"/>
        <v>0</v>
      </c>
      <c r="C4021" s="273">
        <f t="shared" si="667"/>
        <v>0</v>
      </c>
      <c r="D4021" s="273">
        <f t="shared" si="657"/>
        <v>0</v>
      </c>
      <c r="E4021" s="273">
        <f t="shared" si="658"/>
        <v>0</v>
      </c>
      <c r="F4021" s="275">
        <f t="shared" si="659"/>
        <v>37</v>
      </c>
      <c r="G4021" s="272">
        <v>51</v>
      </c>
      <c r="H4021" s="275">
        <f t="shared" si="654"/>
        <v>3714</v>
      </c>
      <c r="I4021" s="275">
        <f t="shared" si="660"/>
        <v>44</v>
      </c>
      <c r="J4021" s="275">
        <f t="shared" si="661"/>
        <v>63</v>
      </c>
      <c r="K4021" s="273">
        <f t="shared" si="662"/>
        <v>0</v>
      </c>
      <c r="L4021" s="273">
        <f t="shared" si="663"/>
        <v>124555325.97394142</v>
      </c>
      <c r="M4021" s="273">
        <f t="shared" si="664"/>
        <v>-177415891.37337863</v>
      </c>
      <c r="N4021" s="273" t="str">
        <f t="shared" si="665"/>
        <v/>
      </c>
      <c r="O4021" s="265"/>
    </row>
    <row r="4022" spans="1:15">
      <c r="A4022" s="285" t="s">
        <v>802</v>
      </c>
      <c r="B4022" s="273">
        <f t="shared" si="666"/>
        <v>-1.5511799139106737</v>
      </c>
      <c r="C4022" s="273">
        <f t="shared" si="667"/>
        <v>295462.09098717442</v>
      </c>
      <c r="D4022" s="273">
        <f t="shared" si="657"/>
        <v>0</v>
      </c>
      <c r="E4022" s="273">
        <f t="shared" si="658"/>
        <v>-458314.86086135288</v>
      </c>
      <c r="F4022" s="275">
        <f t="shared" si="659"/>
        <v>13</v>
      </c>
      <c r="G4022" s="272">
        <v>52</v>
      </c>
      <c r="H4022" s="275">
        <f t="shared" si="654"/>
        <v>1339</v>
      </c>
      <c r="I4022" s="275">
        <f t="shared" si="660"/>
        <v>13</v>
      </c>
      <c r="J4022" s="275">
        <f t="shared" si="661"/>
        <v>64</v>
      </c>
      <c r="K4022" s="273">
        <f t="shared" si="662"/>
        <v>0</v>
      </c>
      <c r="L4022" s="273">
        <f t="shared" si="663"/>
        <v>124555325.97394142</v>
      </c>
      <c r="M4022" s="273">
        <f t="shared" si="664"/>
        <v>-177415891.37337863</v>
      </c>
      <c r="N4022" s="273" t="str">
        <f t="shared" si="665"/>
        <v/>
      </c>
      <c r="O4022" s="265"/>
    </row>
    <row r="4023" spans="1:15">
      <c r="A4023" s="285" t="s">
        <v>803</v>
      </c>
      <c r="B4023" s="273">
        <f t="shared" si="666"/>
        <v>0</v>
      </c>
      <c r="C4023" s="273">
        <f t="shared" si="667"/>
        <v>0</v>
      </c>
      <c r="D4023" s="273">
        <f t="shared" si="657"/>
        <v>0</v>
      </c>
      <c r="E4023" s="273">
        <f t="shared" si="658"/>
        <v>0</v>
      </c>
      <c r="F4023" s="275">
        <f t="shared" si="659"/>
        <v>37</v>
      </c>
      <c r="G4023" s="272">
        <v>53</v>
      </c>
      <c r="H4023" s="275">
        <f t="shared" si="654"/>
        <v>3716</v>
      </c>
      <c r="I4023" s="275">
        <f t="shared" si="660"/>
        <v>45</v>
      </c>
      <c r="J4023" s="275">
        <f t="shared" si="661"/>
        <v>67</v>
      </c>
      <c r="K4023" s="273">
        <f t="shared" si="662"/>
        <v>0</v>
      </c>
      <c r="L4023" s="273">
        <f t="shared" si="663"/>
        <v>124555325.97394142</v>
      </c>
      <c r="M4023" s="273">
        <f t="shared" si="664"/>
        <v>-177415891.37337863</v>
      </c>
      <c r="N4023" s="273" t="str">
        <f t="shared" si="665"/>
        <v/>
      </c>
      <c r="O4023" s="265"/>
    </row>
    <row r="4024" spans="1:15">
      <c r="A4024" s="285" t="s">
        <v>804</v>
      </c>
      <c r="B4024" s="273">
        <f t="shared" si="666"/>
        <v>0</v>
      </c>
      <c r="C4024" s="273">
        <f t="shared" si="667"/>
        <v>0</v>
      </c>
      <c r="D4024" s="273">
        <f t="shared" si="657"/>
        <v>0</v>
      </c>
      <c r="E4024" s="273">
        <f t="shared" si="658"/>
        <v>0</v>
      </c>
      <c r="F4024" s="275">
        <f t="shared" si="659"/>
        <v>37</v>
      </c>
      <c r="G4024" s="272">
        <v>54</v>
      </c>
      <c r="H4024" s="275">
        <f t="shared" si="654"/>
        <v>3717</v>
      </c>
      <c r="I4024" s="275">
        <f t="shared" si="660"/>
        <v>46</v>
      </c>
      <c r="J4024" s="275">
        <f t="shared" si="661"/>
        <v>68</v>
      </c>
      <c r="K4024" s="273">
        <f t="shared" si="662"/>
        <v>0</v>
      </c>
      <c r="L4024" s="273">
        <f t="shared" si="663"/>
        <v>124555325.97394142</v>
      </c>
      <c r="M4024" s="273">
        <f t="shared" si="664"/>
        <v>-177415891.37337863</v>
      </c>
      <c r="N4024" s="273" t="str">
        <f t="shared" si="665"/>
        <v/>
      </c>
      <c r="O4024" s="265"/>
    </row>
    <row r="4025" spans="1:15">
      <c r="A4025" s="285" t="s">
        <v>805</v>
      </c>
      <c r="B4025" s="273">
        <f t="shared" si="666"/>
        <v>0</v>
      </c>
      <c r="C4025" s="273">
        <f t="shared" si="667"/>
        <v>0</v>
      </c>
      <c r="D4025" s="273">
        <f t="shared" si="657"/>
        <v>0</v>
      </c>
      <c r="E4025" s="273">
        <f t="shared" si="658"/>
        <v>0</v>
      </c>
      <c r="F4025" s="275">
        <f t="shared" si="659"/>
        <v>37</v>
      </c>
      <c r="G4025" s="272">
        <v>55</v>
      </c>
      <c r="H4025" s="275">
        <f t="shared" si="654"/>
        <v>3718</v>
      </c>
      <c r="I4025" s="275">
        <f t="shared" si="660"/>
        <v>47</v>
      </c>
      <c r="J4025" s="275">
        <f t="shared" si="661"/>
        <v>69</v>
      </c>
      <c r="K4025" s="273">
        <f t="shared" si="662"/>
        <v>0</v>
      </c>
      <c r="L4025" s="273">
        <f t="shared" si="663"/>
        <v>124555325.97394142</v>
      </c>
      <c r="M4025" s="273">
        <f t="shared" si="664"/>
        <v>-177415891.37337863</v>
      </c>
      <c r="N4025" s="273" t="str">
        <f t="shared" si="665"/>
        <v/>
      </c>
      <c r="O4025" s="265"/>
    </row>
    <row r="4026" spans="1:15">
      <c r="A4026" s="285" t="s">
        <v>806</v>
      </c>
      <c r="B4026" s="273">
        <f t="shared" si="666"/>
        <v>0</v>
      </c>
      <c r="C4026" s="273">
        <f t="shared" si="667"/>
        <v>0</v>
      </c>
      <c r="D4026" s="273">
        <f t="shared" si="657"/>
        <v>0</v>
      </c>
      <c r="E4026" s="273">
        <f t="shared" si="658"/>
        <v>0</v>
      </c>
      <c r="F4026" s="275">
        <f t="shared" si="659"/>
        <v>37</v>
      </c>
      <c r="G4026" s="272">
        <v>56</v>
      </c>
      <c r="H4026" s="275">
        <f t="shared" si="654"/>
        <v>3719</v>
      </c>
      <c r="I4026" s="275">
        <f t="shared" si="660"/>
        <v>48</v>
      </c>
      <c r="J4026" s="275">
        <f t="shared" si="661"/>
        <v>70</v>
      </c>
      <c r="K4026" s="273">
        <f t="shared" si="662"/>
        <v>0</v>
      </c>
      <c r="L4026" s="273">
        <f t="shared" si="663"/>
        <v>124555325.97394142</v>
      </c>
      <c r="M4026" s="273">
        <f t="shared" si="664"/>
        <v>-177415891.37337863</v>
      </c>
      <c r="N4026" s="273" t="str">
        <f t="shared" si="665"/>
        <v/>
      </c>
      <c r="O4026" s="265"/>
    </row>
    <row r="4027" spans="1:15">
      <c r="A4027" s="285" t="s">
        <v>807</v>
      </c>
      <c r="B4027" s="273">
        <f t="shared" si="666"/>
        <v>0.39707451714271191</v>
      </c>
      <c r="C4027" s="273">
        <f t="shared" si="667"/>
        <v>0</v>
      </c>
      <c r="D4027" s="273">
        <f t="shared" si="657"/>
        <v>0</v>
      </c>
      <c r="E4027" s="273">
        <f t="shared" si="658"/>
        <v>0</v>
      </c>
      <c r="F4027" s="275">
        <f t="shared" si="659"/>
        <v>84</v>
      </c>
      <c r="G4027" s="272">
        <v>57</v>
      </c>
      <c r="H4027" s="275">
        <f t="shared" si="654"/>
        <v>8373</v>
      </c>
      <c r="I4027" s="275">
        <f t="shared" si="660"/>
        <v>84</v>
      </c>
      <c r="J4027" s="275">
        <f t="shared" si="661"/>
        <v>71</v>
      </c>
      <c r="K4027" s="273">
        <f t="shared" si="662"/>
        <v>0</v>
      </c>
      <c r="L4027" s="273">
        <f t="shared" si="663"/>
        <v>124555325.97394142</v>
      </c>
      <c r="M4027" s="273">
        <f t="shared" si="664"/>
        <v>-177415891.37337863</v>
      </c>
      <c r="N4027" s="273" t="str">
        <f t="shared" si="665"/>
        <v/>
      </c>
      <c r="O4027" s="265"/>
    </row>
    <row r="4028" spans="1:15">
      <c r="A4028" s="285" t="s">
        <v>808</v>
      </c>
      <c r="B4028" s="273">
        <f t="shared" si="666"/>
        <v>0.39707451714271191</v>
      </c>
      <c r="C4028" s="273">
        <f t="shared" si="667"/>
        <v>0</v>
      </c>
      <c r="D4028" s="273">
        <f t="shared" si="657"/>
        <v>0</v>
      </c>
      <c r="E4028" s="273">
        <f t="shared" si="658"/>
        <v>0</v>
      </c>
      <c r="F4028" s="275">
        <f t="shared" si="659"/>
        <v>84</v>
      </c>
      <c r="G4028" s="272">
        <v>58</v>
      </c>
      <c r="H4028" s="275">
        <f t="shared" si="654"/>
        <v>8374</v>
      </c>
      <c r="I4028" s="275">
        <f t="shared" si="660"/>
        <v>85</v>
      </c>
      <c r="J4028" s="275">
        <f t="shared" si="661"/>
        <v>72</v>
      </c>
      <c r="K4028" s="273">
        <f t="shared" si="662"/>
        <v>0</v>
      </c>
      <c r="L4028" s="273">
        <f t="shared" si="663"/>
        <v>124555325.97394142</v>
      </c>
      <c r="M4028" s="273">
        <f t="shared" si="664"/>
        <v>-177415891.37337863</v>
      </c>
      <c r="N4028" s="273" t="str">
        <f t="shared" si="665"/>
        <v/>
      </c>
      <c r="O4028" s="265"/>
    </row>
    <row r="4029" spans="1:15">
      <c r="A4029" s="285" t="s">
        <v>809</v>
      </c>
      <c r="B4029" s="273">
        <f t="shared" si="666"/>
        <v>0</v>
      </c>
      <c r="C4029" s="273">
        <f t="shared" si="667"/>
        <v>0</v>
      </c>
      <c r="D4029" s="273">
        <f t="shared" si="657"/>
        <v>0</v>
      </c>
      <c r="E4029" s="273">
        <f t="shared" si="658"/>
        <v>0</v>
      </c>
      <c r="F4029" s="275">
        <f t="shared" si="659"/>
        <v>37</v>
      </c>
      <c r="G4029" s="272">
        <v>59</v>
      </c>
      <c r="H4029" s="275">
        <f t="shared" si="654"/>
        <v>3722</v>
      </c>
      <c r="I4029" s="275">
        <f t="shared" si="660"/>
        <v>49</v>
      </c>
      <c r="J4029" s="275">
        <f t="shared" si="661"/>
        <v>73</v>
      </c>
      <c r="K4029" s="273">
        <f t="shared" si="662"/>
        <v>0</v>
      </c>
      <c r="L4029" s="273">
        <f t="shared" si="663"/>
        <v>124555325.97394142</v>
      </c>
      <c r="M4029" s="273">
        <f t="shared" si="664"/>
        <v>-177415891.37337863</v>
      </c>
      <c r="N4029" s="273" t="str">
        <f t="shared" si="665"/>
        <v/>
      </c>
      <c r="O4029" s="265"/>
    </row>
    <row r="4030" spans="1:15">
      <c r="A4030" s="285" t="s">
        <v>810</v>
      </c>
      <c r="B4030" s="273">
        <f t="shared" si="666"/>
        <v>0</v>
      </c>
      <c r="C4030" s="273">
        <f t="shared" si="667"/>
        <v>0</v>
      </c>
      <c r="D4030" s="273">
        <f t="shared" si="657"/>
        <v>0</v>
      </c>
      <c r="E4030" s="273">
        <f t="shared" si="658"/>
        <v>0</v>
      </c>
      <c r="F4030" s="275">
        <f t="shared" si="659"/>
        <v>37</v>
      </c>
      <c r="G4030" s="272">
        <v>60</v>
      </c>
      <c r="H4030" s="275">
        <f t="shared" si="654"/>
        <v>3723</v>
      </c>
      <c r="I4030" s="275">
        <f t="shared" si="660"/>
        <v>50</v>
      </c>
      <c r="J4030" s="275">
        <f t="shared" si="661"/>
        <v>74</v>
      </c>
      <c r="K4030" s="273">
        <f t="shared" si="662"/>
        <v>0</v>
      </c>
      <c r="L4030" s="273">
        <f t="shared" si="663"/>
        <v>124555325.97394142</v>
      </c>
      <c r="M4030" s="273">
        <f t="shared" si="664"/>
        <v>-177415891.37337863</v>
      </c>
      <c r="N4030" s="273" t="str">
        <f t="shared" si="665"/>
        <v/>
      </c>
      <c r="O4030" s="265"/>
    </row>
    <row r="4031" spans="1:15">
      <c r="A4031" s="285" t="s">
        <v>811</v>
      </c>
      <c r="B4031" s="273">
        <f t="shared" si="666"/>
        <v>0.34032053417271535</v>
      </c>
      <c r="C4031" s="273">
        <f t="shared" si="667"/>
        <v>0</v>
      </c>
      <c r="D4031" s="273">
        <f t="shared" si="657"/>
        <v>0</v>
      </c>
      <c r="E4031" s="273">
        <f t="shared" si="658"/>
        <v>0</v>
      </c>
      <c r="F4031" s="275">
        <f t="shared" si="659"/>
        <v>82</v>
      </c>
      <c r="G4031" s="272">
        <v>61</v>
      </c>
      <c r="H4031" s="275">
        <f t="shared" si="654"/>
        <v>8179</v>
      </c>
      <c r="I4031" s="275">
        <f t="shared" si="660"/>
        <v>82</v>
      </c>
      <c r="J4031" s="275">
        <f t="shared" si="661"/>
        <v>75</v>
      </c>
      <c r="K4031" s="273">
        <f t="shared" si="662"/>
        <v>0</v>
      </c>
      <c r="L4031" s="273">
        <f t="shared" si="663"/>
        <v>124555325.97394142</v>
      </c>
      <c r="M4031" s="273">
        <f t="shared" si="664"/>
        <v>-177415891.37337863</v>
      </c>
      <c r="N4031" s="273" t="str">
        <f t="shared" si="665"/>
        <v/>
      </c>
      <c r="O4031" s="265"/>
    </row>
    <row r="4032" spans="1:15">
      <c r="A4032" s="285" t="s">
        <v>812</v>
      </c>
      <c r="B4032" s="273">
        <f t="shared" si="666"/>
        <v>0.34032053417271535</v>
      </c>
      <c r="C4032" s="273">
        <f t="shared" si="667"/>
        <v>0</v>
      </c>
      <c r="D4032" s="273">
        <f t="shared" si="657"/>
        <v>0</v>
      </c>
      <c r="E4032" s="273">
        <f t="shared" si="658"/>
        <v>0</v>
      </c>
      <c r="F4032" s="275">
        <f t="shared" si="659"/>
        <v>82</v>
      </c>
      <c r="G4032" s="272">
        <v>62</v>
      </c>
      <c r="H4032" s="275">
        <f t="shared" si="654"/>
        <v>8180</v>
      </c>
      <c r="I4032" s="275">
        <f t="shared" si="660"/>
        <v>83</v>
      </c>
      <c r="J4032" s="275">
        <f t="shared" si="661"/>
        <v>81</v>
      </c>
      <c r="K4032" s="273">
        <f t="shared" si="662"/>
        <v>0</v>
      </c>
      <c r="L4032" s="273">
        <f t="shared" si="663"/>
        <v>124555325.97394142</v>
      </c>
      <c r="M4032" s="273">
        <f t="shared" si="664"/>
        <v>-177415891.37337863</v>
      </c>
      <c r="N4032" s="273" t="str">
        <f t="shared" si="665"/>
        <v/>
      </c>
      <c r="O4032" s="265"/>
    </row>
    <row r="4033" spans="1:15">
      <c r="A4033" s="285" t="s">
        <v>813</v>
      </c>
      <c r="B4033" s="273">
        <f t="shared" si="666"/>
        <v>0</v>
      </c>
      <c r="C4033" s="273">
        <f t="shared" si="667"/>
        <v>0</v>
      </c>
      <c r="D4033" s="273">
        <f t="shared" si="657"/>
        <v>0</v>
      </c>
      <c r="E4033" s="273">
        <f t="shared" si="658"/>
        <v>0</v>
      </c>
      <c r="F4033" s="275">
        <f t="shared" si="659"/>
        <v>37</v>
      </c>
      <c r="G4033" s="272">
        <v>63</v>
      </c>
      <c r="H4033" s="275">
        <f t="shared" si="654"/>
        <v>3726</v>
      </c>
      <c r="I4033" s="275">
        <f t="shared" si="660"/>
        <v>51</v>
      </c>
      <c r="J4033" s="275">
        <f t="shared" si="661"/>
        <v>82</v>
      </c>
      <c r="K4033" s="273">
        <f t="shared" si="662"/>
        <v>0</v>
      </c>
      <c r="L4033" s="273">
        <f t="shared" si="663"/>
        <v>124555325.97394142</v>
      </c>
      <c r="M4033" s="273">
        <f t="shared" si="664"/>
        <v>-177415891.37337863</v>
      </c>
      <c r="N4033" s="273" t="str">
        <f t="shared" si="665"/>
        <v/>
      </c>
      <c r="O4033" s="265"/>
    </row>
    <row r="4034" spans="1:15">
      <c r="A4034" s="285" t="s">
        <v>814</v>
      </c>
      <c r="B4034" s="273">
        <f t="shared" si="666"/>
        <v>0</v>
      </c>
      <c r="C4034" s="273">
        <f t="shared" si="667"/>
        <v>0</v>
      </c>
      <c r="D4034" s="273">
        <f t="shared" si="657"/>
        <v>0</v>
      </c>
      <c r="E4034" s="273">
        <f t="shared" si="658"/>
        <v>0</v>
      </c>
      <c r="F4034" s="275">
        <f t="shared" si="659"/>
        <v>37</v>
      </c>
      <c r="G4034" s="272">
        <v>64</v>
      </c>
      <c r="H4034" s="275">
        <f t="shared" ref="H4034:H4069" si="668">F4034*99+G4034</f>
        <v>3727</v>
      </c>
      <c r="I4034" s="275">
        <f t="shared" si="660"/>
        <v>52</v>
      </c>
      <c r="J4034" s="275">
        <f t="shared" si="661"/>
        <v>83</v>
      </c>
      <c r="K4034" s="273">
        <f t="shared" si="662"/>
        <v>0</v>
      </c>
      <c r="L4034" s="273">
        <f t="shared" si="663"/>
        <v>124555325.97394142</v>
      </c>
      <c r="M4034" s="273">
        <f t="shared" si="664"/>
        <v>-177415891.37337863</v>
      </c>
      <c r="N4034" s="273" t="str">
        <f t="shared" si="665"/>
        <v/>
      </c>
      <c r="O4034" s="265"/>
    </row>
    <row r="4035" spans="1:15">
      <c r="A4035" s="285" t="s">
        <v>815</v>
      </c>
      <c r="B4035" s="273">
        <f t="shared" si="666"/>
        <v>0.14787596416559548</v>
      </c>
      <c r="C4035" s="273">
        <f t="shared" si="667"/>
        <v>0</v>
      </c>
      <c r="D4035" s="273">
        <f t="shared" ref="D4035:D4069" si="669">IF(ISERROR(B4035),C4035,0)</f>
        <v>0</v>
      </c>
      <c r="E4035" s="273">
        <f t="shared" ref="E4035:E4069" si="670">MAX($B$3941,B4035)*C4035</f>
        <v>0</v>
      </c>
      <c r="F4035" s="275">
        <f t="shared" ref="F4035:F4069" si="671">RANK(B4035,B$3971:B$4069,1)</f>
        <v>80</v>
      </c>
      <c r="G4035" s="272">
        <v>65</v>
      </c>
      <c r="H4035" s="275">
        <f t="shared" si="668"/>
        <v>7985</v>
      </c>
      <c r="I4035" s="275">
        <f t="shared" ref="I4035:I4069" si="672">RANK(H4035,H$3971:H$4069,1)</f>
        <v>80</v>
      </c>
      <c r="J4035" s="275">
        <f t="shared" ref="J4035:J4069" si="673">MATCH(G4035,I$3971:I$4069,0)</f>
        <v>84</v>
      </c>
      <c r="K4035" s="273">
        <f t="shared" ref="K4035:K4069" si="674">INDEX(B$3971:B$4069,J4035,1)</f>
        <v>0</v>
      </c>
      <c r="L4035" s="273">
        <f t="shared" ref="L4035:L4069" si="675">L4034+INDEX(C$3971:C$4069,J4035,1)</f>
        <v>124555325.97394142</v>
      </c>
      <c r="M4035" s="273">
        <f t="shared" ref="M4035:M4069" si="676">M4034+(K4035-K4034)*L4034</f>
        <v>-177415891.37337863</v>
      </c>
      <c r="N4035" s="273" t="str">
        <f t="shared" ref="N4035:N4069" si="677">IF((M4034&gt;0)=(M4035&gt;0),"",K4035-M4035/L4034)</f>
        <v/>
      </c>
      <c r="O4035" s="265"/>
    </row>
    <row r="4036" spans="1:15">
      <c r="A4036" s="285" t="s">
        <v>816</v>
      </c>
      <c r="B4036" s="273">
        <f t="shared" si="666"/>
        <v>0.14787596416559548</v>
      </c>
      <c r="C4036" s="273">
        <f t="shared" si="667"/>
        <v>0</v>
      </c>
      <c r="D4036" s="273">
        <f t="shared" si="669"/>
        <v>0</v>
      </c>
      <c r="E4036" s="273">
        <f t="shared" si="670"/>
        <v>0</v>
      </c>
      <c r="F4036" s="275">
        <f t="shared" si="671"/>
        <v>80</v>
      </c>
      <c r="G4036" s="272">
        <v>66</v>
      </c>
      <c r="H4036" s="275">
        <f t="shared" si="668"/>
        <v>7986</v>
      </c>
      <c r="I4036" s="275">
        <f t="shared" si="672"/>
        <v>81</v>
      </c>
      <c r="J4036" s="275">
        <f t="shared" si="673"/>
        <v>86</v>
      </c>
      <c r="K4036" s="273">
        <f t="shared" si="674"/>
        <v>0</v>
      </c>
      <c r="L4036" s="273">
        <f t="shared" si="675"/>
        <v>124555325.97394142</v>
      </c>
      <c r="M4036" s="273">
        <f t="shared" si="676"/>
        <v>-177415891.37337863</v>
      </c>
      <c r="N4036" s="273" t="str">
        <f t="shared" si="677"/>
        <v/>
      </c>
      <c r="O4036" s="265"/>
    </row>
    <row r="4037" spans="1:15">
      <c r="A4037" s="285" t="s">
        <v>817</v>
      </c>
      <c r="B4037" s="273">
        <f t="shared" ref="B4037:B4069" si="678">D3843</f>
        <v>0</v>
      </c>
      <c r="C4037" s="273">
        <f t="shared" ref="C4037:C4069" si="679">D3887</f>
        <v>0</v>
      </c>
      <c r="D4037" s="273">
        <f t="shared" si="669"/>
        <v>0</v>
      </c>
      <c r="E4037" s="273">
        <f t="shared" si="670"/>
        <v>0</v>
      </c>
      <c r="F4037" s="275">
        <f t="shared" si="671"/>
        <v>37</v>
      </c>
      <c r="G4037" s="272">
        <v>67</v>
      </c>
      <c r="H4037" s="275">
        <f t="shared" si="668"/>
        <v>3730</v>
      </c>
      <c r="I4037" s="275">
        <f t="shared" si="672"/>
        <v>53</v>
      </c>
      <c r="J4037" s="275">
        <f t="shared" si="673"/>
        <v>87</v>
      </c>
      <c r="K4037" s="273">
        <f t="shared" si="674"/>
        <v>0</v>
      </c>
      <c r="L4037" s="273">
        <f t="shared" si="675"/>
        <v>124555325.97394142</v>
      </c>
      <c r="M4037" s="273">
        <f t="shared" si="676"/>
        <v>-177415891.37337863</v>
      </c>
      <c r="N4037" s="273" t="str">
        <f t="shared" si="677"/>
        <v/>
      </c>
      <c r="O4037" s="265"/>
    </row>
    <row r="4038" spans="1:15">
      <c r="A4038" s="285" t="s">
        <v>818</v>
      </c>
      <c r="B4038" s="273">
        <f t="shared" si="678"/>
        <v>0</v>
      </c>
      <c r="C4038" s="273">
        <f t="shared" si="679"/>
        <v>0</v>
      </c>
      <c r="D4038" s="273">
        <f t="shared" si="669"/>
        <v>0</v>
      </c>
      <c r="E4038" s="273">
        <f t="shared" si="670"/>
        <v>0</v>
      </c>
      <c r="F4038" s="275">
        <f t="shared" si="671"/>
        <v>37</v>
      </c>
      <c r="G4038" s="272">
        <v>68</v>
      </c>
      <c r="H4038" s="275">
        <f t="shared" si="668"/>
        <v>3731</v>
      </c>
      <c r="I4038" s="275">
        <f t="shared" si="672"/>
        <v>54</v>
      </c>
      <c r="J4038" s="275">
        <f t="shared" si="673"/>
        <v>88</v>
      </c>
      <c r="K4038" s="273">
        <f t="shared" si="674"/>
        <v>0</v>
      </c>
      <c r="L4038" s="273">
        <f t="shared" si="675"/>
        <v>124555325.97394142</v>
      </c>
      <c r="M4038" s="273">
        <f t="shared" si="676"/>
        <v>-177415891.37337863</v>
      </c>
      <c r="N4038" s="273" t="str">
        <f t="shared" si="677"/>
        <v/>
      </c>
      <c r="O4038" s="265"/>
    </row>
    <row r="4039" spans="1:15">
      <c r="A4039" s="285" t="s">
        <v>819</v>
      </c>
      <c r="B4039" s="273">
        <f t="shared" si="678"/>
        <v>0</v>
      </c>
      <c r="C4039" s="273">
        <f t="shared" si="679"/>
        <v>0</v>
      </c>
      <c r="D4039" s="273">
        <f t="shared" si="669"/>
        <v>0</v>
      </c>
      <c r="E4039" s="273">
        <f t="shared" si="670"/>
        <v>0</v>
      </c>
      <c r="F4039" s="275">
        <f t="shared" si="671"/>
        <v>37</v>
      </c>
      <c r="G4039" s="272">
        <v>69</v>
      </c>
      <c r="H4039" s="275">
        <f t="shared" si="668"/>
        <v>3732</v>
      </c>
      <c r="I4039" s="275">
        <f t="shared" si="672"/>
        <v>55</v>
      </c>
      <c r="J4039" s="275">
        <f t="shared" si="673"/>
        <v>89</v>
      </c>
      <c r="K4039" s="273">
        <f t="shared" si="674"/>
        <v>0</v>
      </c>
      <c r="L4039" s="273">
        <f t="shared" si="675"/>
        <v>124555325.97394142</v>
      </c>
      <c r="M4039" s="273">
        <f t="shared" si="676"/>
        <v>-177415891.37337863</v>
      </c>
      <c r="N4039" s="273" t="str">
        <f t="shared" si="677"/>
        <v/>
      </c>
      <c r="O4039" s="265"/>
    </row>
    <row r="4040" spans="1:15">
      <c r="A4040" s="285" t="s">
        <v>820</v>
      </c>
      <c r="B4040" s="273">
        <f t="shared" si="678"/>
        <v>0</v>
      </c>
      <c r="C4040" s="273">
        <f t="shared" si="679"/>
        <v>0</v>
      </c>
      <c r="D4040" s="273">
        <f t="shared" si="669"/>
        <v>0</v>
      </c>
      <c r="E4040" s="273">
        <f t="shared" si="670"/>
        <v>0</v>
      </c>
      <c r="F4040" s="275">
        <f t="shared" si="671"/>
        <v>37</v>
      </c>
      <c r="G4040" s="272">
        <v>70</v>
      </c>
      <c r="H4040" s="275">
        <f t="shared" si="668"/>
        <v>3733</v>
      </c>
      <c r="I4040" s="275">
        <f t="shared" si="672"/>
        <v>56</v>
      </c>
      <c r="J4040" s="275">
        <f t="shared" si="673"/>
        <v>92</v>
      </c>
      <c r="K4040" s="273">
        <f t="shared" si="674"/>
        <v>0</v>
      </c>
      <c r="L4040" s="273">
        <f t="shared" si="675"/>
        <v>124555325.97394142</v>
      </c>
      <c r="M4040" s="273">
        <f t="shared" si="676"/>
        <v>-177415891.37337863</v>
      </c>
      <c r="N4040" s="273" t="str">
        <f t="shared" si="677"/>
        <v/>
      </c>
      <c r="O4040" s="265"/>
    </row>
    <row r="4041" spans="1:15">
      <c r="A4041" s="285" t="s">
        <v>821</v>
      </c>
      <c r="B4041" s="273">
        <f t="shared" si="678"/>
        <v>0</v>
      </c>
      <c r="C4041" s="273">
        <f t="shared" si="679"/>
        <v>0</v>
      </c>
      <c r="D4041" s="273">
        <f t="shared" si="669"/>
        <v>0</v>
      </c>
      <c r="E4041" s="273">
        <f t="shared" si="670"/>
        <v>0</v>
      </c>
      <c r="F4041" s="275">
        <f t="shared" si="671"/>
        <v>37</v>
      </c>
      <c r="G4041" s="272">
        <v>71</v>
      </c>
      <c r="H4041" s="275">
        <f t="shared" si="668"/>
        <v>3734</v>
      </c>
      <c r="I4041" s="275">
        <f t="shared" si="672"/>
        <v>57</v>
      </c>
      <c r="J4041" s="275">
        <f t="shared" si="673"/>
        <v>93</v>
      </c>
      <c r="K4041" s="273">
        <f t="shared" si="674"/>
        <v>0</v>
      </c>
      <c r="L4041" s="273">
        <f t="shared" si="675"/>
        <v>124555325.97394142</v>
      </c>
      <c r="M4041" s="273">
        <f t="shared" si="676"/>
        <v>-177415891.37337863</v>
      </c>
      <c r="N4041" s="273" t="str">
        <f t="shared" si="677"/>
        <v/>
      </c>
      <c r="O4041" s="265"/>
    </row>
    <row r="4042" spans="1:15">
      <c r="A4042" s="285" t="s">
        <v>822</v>
      </c>
      <c r="B4042" s="273">
        <f t="shared" si="678"/>
        <v>0</v>
      </c>
      <c r="C4042" s="273">
        <f t="shared" si="679"/>
        <v>0</v>
      </c>
      <c r="D4042" s="273">
        <f t="shared" si="669"/>
        <v>0</v>
      </c>
      <c r="E4042" s="273">
        <f t="shared" si="670"/>
        <v>0</v>
      </c>
      <c r="F4042" s="275">
        <f t="shared" si="671"/>
        <v>37</v>
      </c>
      <c r="G4042" s="272">
        <v>72</v>
      </c>
      <c r="H4042" s="275">
        <f t="shared" si="668"/>
        <v>3735</v>
      </c>
      <c r="I4042" s="275">
        <f t="shared" si="672"/>
        <v>58</v>
      </c>
      <c r="J4042" s="275">
        <f t="shared" si="673"/>
        <v>96</v>
      </c>
      <c r="K4042" s="273">
        <f t="shared" si="674"/>
        <v>0</v>
      </c>
      <c r="L4042" s="273">
        <f t="shared" si="675"/>
        <v>124555325.97394142</v>
      </c>
      <c r="M4042" s="273">
        <f t="shared" si="676"/>
        <v>-177415891.37337863</v>
      </c>
      <c r="N4042" s="273" t="str">
        <f t="shared" si="677"/>
        <v/>
      </c>
      <c r="O4042" s="265"/>
    </row>
    <row r="4043" spans="1:15">
      <c r="A4043" s="285" t="s">
        <v>823</v>
      </c>
      <c r="B4043" s="273">
        <f t="shared" si="678"/>
        <v>0</v>
      </c>
      <c r="C4043" s="273">
        <f t="shared" si="679"/>
        <v>0</v>
      </c>
      <c r="D4043" s="273">
        <f t="shared" si="669"/>
        <v>0</v>
      </c>
      <c r="E4043" s="273">
        <f t="shared" si="670"/>
        <v>0</v>
      </c>
      <c r="F4043" s="275">
        <f t="shared" si="671"/>
        <v>37</v>
      </c>
      <c r="G4043" s="272">
        <v>73</v>
      </c>
      <c r="H4043" s="275">
        <f t="shared" si="668"/>
        <v>3736</v>
      </c>
      <c r="I4043" s="275">
        <f t="shared" si="672"/>
        <v>59</v>
      </c>
      <c r="J4043" s="275">
        <f t="shared" si="673"/>
        <v>97</v>
      </c>
      <c r="K4043" s="273">
        <f t="shared" si="674"/>
        <v>0</v>
      </c>
      <c r="L4043" s="273">
        <f t="shared" si="675"/>
        <v>124555325.97394142</v>
      </c>
      <c r="M4043" s="273">
        <f t="shared" si="676"/>
        <v>-177415891.37337863</v>
      </c>
      <c r="N4043" s="273" t="str">
        <f t="shared" si="677"/>
        <v/>
      </c>
      <c r="O4043" s="265"/>
    </row>
    <row r="4044" spans="1:15">
      <c r="A4044" s="285" t="s">
        <v>824</v>
      </c>
      <c r="B4044" s="273">
        <f t="shared" si="678"/>
        <v>0</v>
      </c>
      <c r="C4044" s="273">
        <f t="shared" si="679"/>
        <v>0</v>
      </c>
      <c r="D4044" s="273">
        <f t="shared" si="669"/>
        <v>0</v>
      </c>
      <c r="E4044" s="273">
        <f t="shared" si="670"/>
        <v>0</v>
      </c>
      <c r="F4044" s="275">
        <f t="shared" si="671"/>
        <v>37</v>
      </c>
      <c r="G4044" s="272">
        <v>74</v>
      </c>
      <c r="H4044" s="275">
        <f t="shared" si="668"/>
        <v>3737</v>
      </c>
      <c r="I4044" s="275">
        <f t="shared" si="672"/>
        <v>60</v>
      </c>
      <c r="J4044" s="275">
        <f t="shared" si="673"/>
        <v>98</v>
      </c>
      <c r="K4044" s="273">
        <f t="shared" si="674"/>
        <v>5.2166056134706255E-2</v>
      </c>
      <c r="L4044" s="273">
        <f t="shared" si="675"/>
        <v>124555325.97394142</v>
      </c>
      <c r="M4044" s="273">
        <f t="shared" si="676"/>
        <v>-170918331.24674538</v>
      </c>
      <c r="N4044" s="273" t="str">
        <f t="shared" si="677"/>
        <v/>
      </c>
      <c r="O4044" s="265"/>
    </row>
    <row r="4045" spans="1:15">
      <c r="A4045" s="285" t="s">
        <v>825</v>
      </c>
      <c r="B4045" s="273">
        <f t="shared" si="678"/>
        <v>0</v>
      </c>
      <c r="C4045" s="273">
        <f t="shared" si="679"/>
        <v>0</v>
      </c>
      <c r="D4045" s="273">
        <f t="shared" si="669"/>
        <v>0</v>
      </c>
      <c r="E4045" s="273">
        <f t="shared" si="670"/>
        <v>0</v>
      </c>
      <c r="F4045" s="275">
        <f t="shared" si="671"/>
        <v>37</v>
      </c>
      <c r="G4045" s="272">
        <v>75</v>
      </c>
      <c r="H4045" s="275">
        <f t="shared" si="668"/>
        <v>3738</v>
      </c>
      <c r="I4045" s="275">
        <f t="shared" si="672"/>
        <v>61</v>
      </c>
      <c r="J4045" s="275">
        <f t="shared" si="673"/>
        <v>99</v>
      </c>
      <c r="K4045" s="273">
        <f t="shared" si="674"/>
        <v>5.2166056134706255E-2</v>
      </c>
      <c r="L4045" s="273">
        <f t="shared" si="675"/>
        <v>124555325.97394142</v>
      </c>
      <c r="M4045" s="273">
        <f t="shared" si="676"/>
        <v>-170918331.24674538</v>
      </c>
      <c r="N4045" s="273" t="str">
        <f t="shared" si="677"/>
        <v/>
      </c>
      <c r="O4045" s="265"/>
    </row>
    <row r="4046" spans="1:15">
      <c r="A4046" s="285" t="s">
        <v>826</v>
      </c>
      <c r="B4046" s="273">
        <f t="shared" si="678"/>
        <v>-0.15441312704351895</v>
      </c>
      <c r="C4046" s="273">
        <f t="shared" si="679"/>
        <v>0.52892165651785694</v>
      </c>
      <c r="D4046" s="273">
        <f t="shared" si="669"/>
        <v>0</v>
      </c>
      <c r="E4046" s="273">
        <f t="shared" si="670"/>
        <v>-8.1672446943960336E-2</v>
      </c>
      <c r="F4046" s="275">
        <f t="shared" si="671"/>
        <v>28</v>
      </c>
      <c r="G4046" s="272">
        <v>76</v>
      </c>
      <c r="H4046" s="275">
        <f t="shared" si="668"/>
        <v>2848</v>
      </c>
      <c r="I4046" s="275">
        <f t="shared" si="672"/>
        <v>28</v>
      </c>
      <c r="J4046" s="275">
        <f t="shared" si="673"/>
        <v>94</v>
      </c>
      <c r="K4046" s="273">
        <f t="shared" si="674"/>
        <v>9.2454039327483251E-2</v>
      </c>
      <c r="L4046" s="273">
        <f t="shared" si="675"/>
        <v>124555325.97394142</v>
      </c>
      <c r="M4046" s="273">
        <f t="shared" si="676"/>
        <v>-165900248.36733636</v>
      </c>
      <c r="N4046" s="273" t="str">
        <f t="shared" si="677"/>
        <v/>
      </c>
      <c r="O4046" s="265"/>
    </row>
    <row r="4047" spans="1:15">
      <c r="A4047" s="285" t="s">
        <v>827</v>
      </c>
      <c r="B4047" s="273">
        <f t="shared" si="678"/>
        <v>-0.15747347968875935</v>
      </c>
      <c r="C4047" s="273">
        <f t="shared" si="679"/>
        <v>1882581.0563805546</v>
      </c>
      <c r="D4047" s="273">
        <f t="shared" si="669"/>
        <v>0</v>
      </c>
      <c r="E4047" s="273">
        <f t="shared" si="670"/>
        <v>-296456.58974438638</v>
      </c>
      <c r="F4047" s="275">
        <f t="shared" si="671"/>
        <v>27</v>
      </c>
      <c r="G4047" s="272">
        <v>77</v>
      </c>
      <c r="H4047" s="275">
        <f t="shared" si="668"/>
        <v>2750</v>
      </c>
      <c r="I4047" s="275">
        <f t="shared" si="672"/>
        <v>27</v>
      </c>
      <c r="J4047" s="275">
        <f t="shared" si="673"/>
        <v>95</v>
      </c>
      <c r="K4047" s="273">
        <f t="shared" si="674"/>
        <v>9.2454039327483251E-2</v>
      </c>
      <c r="L4047" s="273">
        <f t="shared" si="675"/>
        <v>124555325.97394142</v>
      </c>
      <c r="M4047" s="273">
        <f t="shared" si="676"/>
        <v>-165900248.36733636</v>
      </c>
      <c r="N4047" s="273" t="str">
        <f t="shared" si="677"/>
        <v/>
      </c>
      <c r="O4047" s="265"/>
    </row>
    <row r="4048" spans="1:15">
      <c r="A4048" s="285" t="s">
        <v>828</v>
      </c>
      <c r="B4048" s="273">
        <f t="shared" si="678"/>
        <v>-0.10451768300838116</v>
      </c>
      <c r="C4048" s="273">
        <f t="shared" si="679"/>
        <v>5580233.4081296436</v>
      </c>
      <c r="D4048" s="273">
        <f t="shared" si="669"/>
        <v>0</v>
      </c>
      <c r="E4048" s="273">
        <f t="shared" si="670"/>
        <v>-583233.06646367256</v>
      </c>
      <c r="F4048" s="275">
        <f t="shared" si="671"/>
        <v>33</v>
      </c>
      <c r="G4048" s="272">
        <v>78</v>
      </c>
      <c r="H4048" s="275">
        <f t="shared" si="668"/>
        <v>3345</v>
      </c>
      <c r="I4048" s="275">
        <f t="shared" si="672"/>
        <v>33</v>
      </c>
      <c r="J4048" s="275">
        <f t="shared" si="673"/>
        <v>90</v>
      </c>
      <c r="K4048" s="273">
        <f t="shared" si="674"/>
        <v>0.10420903556894183</v>
      </c>
      <c r="L4048" s="273">
        <f t="shared" si="675"/>
        <v>124555325.97394142</v>
      </c>
      <c r="M4048" s="273">
        <f t="shared" si="676"/>
        <v>-164436100.97865903</v>
      </c>
      <c r="N4048" s="273" t="str">
        <f t="shared" si="677"/>
        <v/>
      </c>
      <c r="O4048" s="265"/>
    </row>
    <row r="4049" spans="1:15">
      <c r="A4049" s="285" t="s">
        <v>829</v>
      </c>
      <c r="B4049" s="273">
        <f t="shared" si="678"/>
        <v>-7.1665506969316922E-2</v>
      </c>
      <c r="C4049" s="273">
        <f t="shared" si="679"/>
        <v>3405481.699153956</v>
      </c>
      <c r="D4049" s="273">
        <f t="shared" si="669"/>
        <v>0</v>
      </c>
      <c r="E4049" s="273">
        <f t="shared" si="670"/>
        <v>-244055.57244459906</v>
      </c>
      <c r="F4049" s="275">
        <f t="shared" si="671"/>
        <v>34</v>
      </c>
      <c r="G4049" s="272">
        <v>79</v>
      </c>
      <c r="H4049" s="275">
        <f t="shared" si="668"/>
        <v>3445</v>
      </c>
      <c r="I4049" s="275">
        <f t="shared" si="672"/>
        <v>34</v>
      </c>
      <c r="J4049" s="275">
        <f t="shared" si="673"/>
        <v>91</v>
      </c>
      <c r="K4049" s="273">
        <f t="shared" si="674"/>
        <v>0.10420903556894183</v>
      </c>
      <c r="L4049" s="273">
        <f t="shared" si="675"/>
        <v>124555325.97394142</v>
      </c>
      <c r="M4049" s="273">
        <f t="shared" si="676"/>
        <v>-164436100.97865903</v>
      </c>
      <c r="N4049" s="273" t="str">
        <f t="shared" si="677"/>
        <v/>
      </c>
      <c r="O4049" s="265"/>
    </row>
    <row r="4050" spans="1:15">
      <c r="A4050" s="285" t="s">
        <v>830</v>
      </c>
      <c r="B4050" s="273">
        <f t="shared" si="678"/>
        <v>-4.5900060447657279E-2</v>
      </c>
      <c r="C4050" s="273">
        <f t="shared" si="679"/>
        <v>11892449.617678739</v>
      </c>
      <c r="D4050" s="273">
        <f t="shared" si="669"/>
        <v>0</v>
      </c>
      <c r="E4050" s="273">
        <f t="shared" si="670"/>
        <v>-545864.15632217284</v>
      </c>
      <c r="F4050" s="275">
        <f t="shared" si="671"/>
        <v>36</v>
      </c>
      <c r="G4050" s="272">
        <v>80</v>
      </c>
      <c r="H4050" s="275">
        <f t="shared" si="668"/>
        <v>3644</v>
      </c>
      <c r="I4050" s="275">
        <f t="shared" si="672"/>
        <v>36</v>
      </c>
      <c r="J4050" s="275">
        <f t="shared" si="673"/>
        <v>65</v>
      </c>
      <c r="K4050" s="273">
        <f t="shared" si="674"/>
        <v>0.14787596416559548</v>
      </c>
      <c r="L4050" s="273">
        <f t="shared" si="675"/>
        <v>124555325.97394142</v>
      </c>
      <c r="M4050" s="273">
        <f t="shared" si="676"/>
        <v>-158997152.453022</v>
      </c>
      <c r="N4050" s="273" t="str">
        <f t="shared" si="677"/>
        <v/>
      </c>
      <c r="O4050" s="265"/>
    </row>
    <row r="4051" spans="1:15">
      <c r="A4051" s="285" t="s">
        <v>831</v>
      </c>
      <c r="B4051" s="273">
        <f t="shared" si="678"/>
        <v>0</v>
      </c>
      <c r="C4051" s="273">
        <f t="shared" si="679"/>
        <v>0</v>
      </c>
      <c r="D4051" s="273">
        <f t="shared" si="669"/>
        <v>0</v>
      </c>
      <c r="E4051" s="273">
        <f t="shared" si="670"/>
        <v>0</v>
      </c>
      <c r="F4051" s="275">
        <f t="shared" si="671"/>
        <v>37</v>
      </c>
      <c r="G4051" s="272">
        <v>81</v>
      </c>
      <c r="H4051" s="275">
        <f t="shared" si="668"/>
        <v>3744</v>
      </c>
      <c r="I4051" s="275">
        <f t="shared" si="672"/>
        <v>62</v>
      </c>
      <c r="J4051" s="275">
        <f t="shared" si="673"/>
        <v>66</v>
      </c>
      <c r="K4051" s="273">
        <f t="shared" si="674"/>
        <v>0.14787596416559548</v>
      </c>
      <c r="L4051" s="273">
        <f t="shared" si="675"/>
        <v>124555325.97394142</v>
      </c>
      <c r="M4051" s="273">
        <f t="shared" si="676"/>
        <v>-158997152.453022</v>
      </c>
      <c r="N4051" s="273" t="str">
        <f t="shared" si="677"/>
        <v/>
      </c>
      <c r="O4051" s="265"/>
    </row>
    <row r="4052" spans="1:15">
      <c r="A4052" s="285" t="s">
        <v>832</v>
      </c>
      <c r="B4052" s="273">
        <f t="shared" si="678"/>
        <v>0</v>
      </c>
      <c r="C4052" s="273">
        <f t="shared" si="679"/>
        <v>0</v>
      </c>
      <c r="D4052" s="273">
        <f t="shared" si="669"/>
        <v>0</v>
      </c>
      <c r="E4052" s="273">
        <f t="shared" si="670"/>
        <v>0</v>
      </c>
      <c r="F4052" s="275">
        <f t="shared" si="671"/>
        <v>37</v>
      </c>
      <c r="G4052" s="272">
        <v>82</v>
      </c>
      <c r="H4052" s="275">
        <f t="shared" si="668"/>
        <v>3745</v>
      </c>
      <c r="I4052" s="275">
        <f t="shared" si="672"/>
        <v>63</v>
      </c>
      <c r="J4052" s="275">
        <f t="shared" si="673"/>
        <v>61</v>
      </c>
      <c r="K4052" s="273">
        <f t="shared" si="674"/>
        <v>0.34032053417271535</v>
      </c>
      <c r="L4052" s="273">
        <f t="shared" si="675"/>
        <v>124555325.97394142</v>
      </c>
      <c r="M4052" s="273">
        <f t="shared" si="676"/>
        <v>-135027156.3038702</v>
      </c>
      <c r="N4052" s="273" t="str">
        <f t="shared" si="677"/>
        <v/>
      </c>
      <c r="O4052" s="265"/>
    </row>
    <row r="4053" spans="1:15">
      <c r="A4053" s="285" t="s">
        <v>833</v>
      </c>
      <c r="B4053" s="273">
        <f t="shared" si="678"/>
        <v>0</v>
      </c>
      <c r="C4053" s="273">
        <f t="shared" si="679"/>
        <v>0</v>
      </c>
      <c r="D4053" s="273">
        <f t="shared" si="669"/>
        <v>0</v>
      </c>
      <c r="E4053" s="273">
        <f t="shared" si="670"/>
        <v>0</v>
      </c>
      <c r="F4053" s="275">
        <f t="shared" si="671"/>
        <v>37</v>
      </c>
      <c r="G4053" s="272">
        <v>83</v>
      </c>
      <c r="H4053" s="275">
        <f t="shared" si="668"/>
        <v>3746</v>
      </c>
      <c r="I4053" s="275">
        <f t="shared" si="672"/>
        <v>64</v>
      </c>
      <c r="J4053" s="275">
        <f t="shared" si="673"/>
        <v>62</v>
      </c>
      <c r="K4053" s="273">
        <f t="shared" si="674"/>
        <v>0.34032053417271535</v>
      </c>
      <c r="L4053" s="273">
        <f t="shared" si="675"/>
        <v>124555325.97394142</v>
      </c>
      <c r="M4053" s="273">
        <f t="shared" si="676"/>
        <v>-135027156.3038702</v>
      </c>
      <c r="N4053" s="273" t="str">
        <f t="shared" si="677"/>
        <v/>
      </c>
      <c r="O4053" s="265"/>
    </row>
    <row r="4054" spans="1:15">
      <c r="A4054" s="285" t="s">
        <v>834</v>
      </c>
      <c r="B4054" s="273">
        <f t="shared" si="678"/>
        <v>0</v>
      </c>
      <c r="C4054" s="273">
        <f t="shared" si="679"/>
        <v>0</v>
      </c>
      <c r="D4054" s="273">
        <f t="shared" si="669"/>
        <v>0</v>
      </c>
      <c r="E4054" s="273">
        <f t="shared" si="670"/>
        <v>0</v>
      </c>
      <c r="F4054" s="275">
        <f t="shared" si="671"/>
        <v>37</v>
      </c>
      <c r="G4054" s="272">
        <v>84</v>
      </c>
      <c r="H4054" s="275">
        <f t="shared" si="668"/>
        <v>3747</v>
      </c>
      <c r="I4054" s="275">
        <f t="shared" si="672"/>
        <v>65</v>
      </c>
      <c r="J4054" s="275">
        <f t="shared" si="673"/>
        <v>57</v>
      </c>
      <c r="K4054" s="273">
        <f t="shared" si="674"/>
        <v>0.39707451714271191</v>
      </c>
      <c r="L4054" s="273">
        <f t="shared" si="675"/>
        <v>124555325.97394142</v>
      </c>
      <c r="M4054" s="273">
        <f t="shared" si="676"/>
        <v>-127958145.45472276</v>
      </c>
      <c r="N4054" s="273" t="str">
        <f t="shared" si="677"/>
        <v/>
      </c>
      <c r="O4054" s="265"/>
    </row>
    <row r="4055" spans="1:15">
      <c r="A4055" s="285" t="s">
        <v>835</v>
      </c>
      <c r="B4055" s="273">
        <f t="shared" si="678"/>
        <v>-1.0827010462764302</v>
      </c>
      <c r="C4055" s="273">
        <f t="shared" si="679"/>
        <v>797992.43698458059</v>
      </c>
      <c r="D4055" s="273">
        <f t="shared" si="669"/>
        <v>0</v>
      </c>
      <c r="E4055" s="273">
        <f t="shared" si="670"/>
        <v>-863987.24644388363</v>
      </c>
      <c r="F4055" s="275">
        <f t="shared" si="671"/>
        <v>18</v>
      </c>
      <c r="G4055" s="272">
        <v>85</v>
      </c>
      <c r="H4055" s="275">
        <f t="shared" si="668"/>
        <v>1867</v>
      </c>
      <c r="I4055" s="275">
        <f t="shared" si="672"/>
        <v>18</v>
      </c>
      <c r="J4055" s="275">
        <f t="shared" si="673"/>
        <v>58</v>
      </c>
      <c r="K4055" s="273">
        <f t="shared" si="674"/>
        <v>0.39707451714271191</v>
      </c>
      <c r="L4055" s="273">
        <f t="shared" si="675"/>
        <v>124555325.97394142</v>
      </c>
      <c r="M4055" s="273">
        <f t="shared" si="676"/>
        <v>-127958145.45472276</v>
      </c>
      <c r="N4055" s="273" t="str">
        <f t="shared" si="677"/>
        <v/>
      </c>
      <c r="O4055" s="265"/>
    </row>
    <row r="4056" spans="1:15">
      <c r="A4056" s="285" t="s">
        <v>836</v>
      </c>
      <c r="B4056" s="273">
        <f t="shared" si="678"/>
        <v>0</v>
      </c>
      <c r="C4056" s="273">
        <f t="shared" si="679"/>
        <v>0</v>
      </c>
      <c r="D4056" s="273">
        <f t="shared" si="669"/>
        <v>0</v>
      </c>
      <c r="E4056" s="273">
        <f t="shared" si="670"/>
        <v>0</v>
      </c>
      <c r="F4056" s="275">
        <f t="shared" si="671"/>
        <v>37</v>
      </c>
      <c r="G4056" s="272">
        <v>86</v>
      </c>
      <c r="H4056" s="275">
        <f t="shared" si="668"/>
        <v>3749</v>
      </c>
      <c r="I4056" s="275">
        <f t="shared" si="672"/>
        <v>66</v>
      </c>
      <c r="J4056" s="275">
        <f t="shared" si="673"/>
        <v>30</v>
      </c>
      <c r="K4056" s="273">
        <f t="shared" si="674"/>
        <v>0.45356433543398189</v>
      </c>
      <c r="L4056" s="273">
        <f t="shared" si="675"/>
        <v>124555325.97394142</v>
      </c>
      <c r="M4056" s="273">
        <f t="shared" si="676"/>
        <v>-120922037.72324491</v>
      </c>
      <c r="N4056" s="273" t="str">
        <f t="shared" si="677"/>
        <v/>
      </c>
      <c r="O4056" s="265"/>
    </row>
    <row r="4057" spans="1:15">
      <c r="A4057" s="285" t="s">
        <v>837</v>
      </c>
      <c r="B4057" s="273">
        <f t="shared" si="678"/>
        <v>0</v>
      </c>
      <c r="C4057" s="273">
        <f t="shared" si="679"/>
        <v>0</v>
      </c>
      <c r="D4057" s="273">
        <f t="shared" si="669"/>
        <v>0</v>
      </c>
      <c r="E4057" s="273">
        <f t="shared" si="670"/>
        <v>0</v>
      </c>
      <c r="F4057" s="275">
        <f t="shared" si="671"/>
        <v>37</v>
      </c>
      <c r="G4057" s="272">
        <v>87</v>
      </c>
      <c r="H4057" s="275">
        <f t="shared" si="668"/>
        <v>3750</v>
      </c>
      <c r="I4057" s="275">
        <f t="shared" si="672"/>
        <v>67</v>
      </c>
      <c r="J4057" s="275">
        <f t="shared" si="673"/>
        <v>31</v>
      </c>
      <c r="K4057" s="273">
        <f t="shared" si="674"/>
        <v>0.45356433543398189</v>
      </c>
      <c r="L4057" s="273">
        <f t="shared" si="675"/>
        <v>124555325.97394142</v>
      </c>
      <c r="M4057" s="273">
        <f t="shared" si="676"/>
        <v>-120922037.72324491</v>
      </c>
      <c r="N4057" s="273" t="str">
        <f t="shared" si="677"/>
        <v/>
      </c>
      <c r="O4057" s="265"/>
    </row>
    <row r="4058" spans="1:15">
      <c r="A4058" s="285" t="s">
        <v>838</v>
      </c>
      <c r="B4058" s="273">
        <f t="shared" si="678"/>
        <v>0</v>
      </c>
      <c r="C4058" s="273">
        <f t="shared" si="679"/>
        <v>0</v>
      </c>
      <c r="D4058" s="273">
        <f t="shared" si="669"/>
        <v>0</v>
      </c>
      <c r="E4058" s="273">
        <f t="shared" si="670"/>
        <v>0</v>
      </c>
      <c r="F4058" s="275">
        <f t="shared" si="671"/>
        <v>37</v>
      </c>
      <c r="G4058" s="272">
        <v>88</v>
      </c>
      <c r="H4058" s="275">
        <f t="shared" si="668"/>
        <v>3751</v>
      </c>
      <c r="I4058" s="275">
        <f t="shared" si="672"/>
        <v>68</v>
      </c>
      <c r="J4058" s="275">
        <f t="shared" si="673"/>
        <v>21</v>
      </c>
      <c r="K4058" s="273">
        <f t="shared" si="674"/>
        <v>0.71178708684806646</v>
      </c>
      <c r="L4058" s="273">
        <f t="shared" si="675"/>
        <v>124555325.97394142</v>
      </c>
      <c r="M4058" s="273">
        <f t="shared" si="676"/>
        <v>-88759018.746975556</v>
      </c>
      <c r="N4058" s="273" t="str">
        <f t="shared" si="677"/>
        <v/>
      </c>
      <c r="O4058" s="265"/>
    </row>
    <row r="4059" spans="1:15">
      <c r="A4059" s="285" t="s">
        <v>839</v>
      </c>
      <c r="B4059" s="273">
        <f t="shared" si="678"/>
        <v>0</v>
      </c>
      <c r="C4059" s="273">
        <f t="shared" si="679"/>
        <v>0</v>
      </c>
      <c r="D4059" s="273">
        <f t="shared" si="669"/>
        <v>0</v>
      </c>
      <c r="E4059" s="273">
        <f t="shared" si="670"/>
        <v>0</v>
      </c>
      <c r="F4059" s="275">
        <f t="shared" si="671"/>
        <v>37</v>
      </c>
      <c r="G4059" s="272">
        <v>89</v>
      </c>
      <c r="H4059" s="275">
        <f t="shared" si="668"/>
        <v>3752</v>
      </c>
      <c r="I4059" s="275">
        <f t="shared" si="672"/>
        <v>69</v>
      </c>
      <c r="J4059" s="275">
        <f t="shared" si="673"/>
        <v>26</v>
      </c>
      <c r="K4059" s="273">
        <f t="shared" si="674"/>
        <v>0.71178708684806646</v>
      </c>
      <c r="L4059" s="273">
        <f t="shared" si="675"/>
        <v>124555325.97394142</v>
      </c>
      <c r="M4059" s="273">
        <f t="shared" si="676"/>
        <v>-88759018.746975556</v>
      </c>
      <c r="N4059" s="273" t="str">
        <f t="shared" si="677"/>
        <v/>
      </c>
      <c r="O4059" s="265"/>
    </row>
    <row r="4060" spans="1:15">
      <c r="A4060" s="285" t="s">
        <v>840</v>
      </c>
      <c r="B4060" s="273">
        <f t="shared" si="678"/>
        <v>0.10420903556894183</v>
      </c>
      <c r="C4060" s="273">
        <f t="shared" si="679"/>
        <v>0</v>
      </c>
      <c r="D4060" s="273">
        <f t="shared" si="669"/>
        <v>0</v>
      </c>
      <c r="E4060" s="273">
        <f t="shared" si="670"/>
        <v>0</v>
      </c>
      <c r="F4060" s="275">
        <f t="shared" si="671"/>
        <v>78</v>
      </c>
      <c r="G4060" s="272">
        <v>90</v>
      </c>
      <c r="H4060" s="275">
        <f t="shared" si="668"/>
        <v>7812</v>
      </c>
      <c r="I4060" s="275">
        <f t="shared" si="672"/>
        <v>78</v>
      </c>
      <c r="J4060" s="275">
        <f t="shared" si="673"/>
        <v>27</v>
      </c>
      <c r="K4060" s="273">
        <f t="shared" si="674"/>
        <v>0.71178708684806646</v>
      </c>
      <c r="L4060" s="273">
        <f t="shared" si="675"/>
        <v>124555325.97394142</v>
      </c>
      <c r="M4060" s="273">
        <f t="shared" si="676"/>
        <v>-88759018.746975556</v>
      </c>
      <c r="N4060" s="273" t="str">
        <f t="shared" si="677"/>
        <v/>
      </c>
      <c r="O4060" s="265"/>
    </row>
    <row r="4061" spans="1:15">
      <c r="A4061" s="285" t="s">
        <v>841</v>
      </c>
      <c r="B4061" s="273">
        <f t="shared" si="678"/>
        <v>0.10420903556894183</v>
      </c>
      <c r="C4061" s="273">
        <f t="shared" si="679"/>
        <v>0</v>
      </c>
      <c r="D4061" s="273">
        <f t="shared" si="669"/>
        <v>0</v>
      </c>
      <c r="E4061" s="273">
        <f t="shared" si="670"/>
        <v>0</v>
      </c>
      <c r="F4061" s="275">
        <f t="shared" si="671"/>
        <v>78</v>
      </c>
      <c r="G4061" s="272">
        <v>91</v>
      </c>
      <c r="H4061" s="275">
        <f t="shared" si="668"/>
        <v>7813</v>
      </c>
      <c r="I4061" s="275">
        <f t="shared" si="672"/>
        <v>79</v>
      </c>
      <c r="J4061" s="275">
        <f t="shared" si="673"/>
        <v>20</v>
      </c>
      <c r="K4061" s="273">
        <f t="shared" si="674"/>
        <v>0.78720381578930099</v>
      </c>
      <c r="L4061" s="273">
        <f t="shared" si="675"/>
        <v>124555325.97394142</v>
      </c>
      <c r="M4061" s="273">
        <f t="shared" si="676"/>
        <v>-79365463.489811704</v>
      </c>
      <c r="N4061" s="273" t="str">
        <f t="shared" si="677"/>
        <v/>
      </c>
      <c r="O4061" s="265"/>
    </row>
    <row r="4062" spans="1:15">
      <c r="A4062" s="285" t="s">
        <v>842</v>
      </c>
      <c r="B4062" s="273">
        <f t="shared" si="678"/>
        <v>0</v>
      </c>
      <c r="C4062" s="273">
        <f t="shared" si="679"/>
        <v>0</v>
      </c>
      <c r="D4062" s="273">
        <f t="shared" si="669"/>
        <v>0</v>
      </c>
      <c r="E4062" s="273">
        <f t="shared" si="670"/>
        <v>0</v>
      </c>
      <c r="F4062" s="275">
        <f t="shared" si="671"/>
        <v>37</v>
      </c>
      <c r="G4062" s="272">
        <v>92</v>
      </c>
      <c r="H4062" s="275">
        <f t="shared" si="668"/>
        <v>3755</v>
      </c>
      <c r="I4062" s="275">
        <f t="shared" si="672"/>
        <v>70</v>
      </c>
      <c r="J4062" s="275">
        <f t="shared" si="673"/>
        <v>22</v>
      </c>
      <c r="K4062" s="273">
        <f t="shared" si="674"/>
        <v>0.78720381578930099</v>
      </c>
      <c r="L4062" s="273">
        <f t="shared" si="675"/>
        <v>124555325.97394142</v>
      </c>
      <c r="M4062" s="273">
        <f t="shared" si="676"/>
        <v>-79365463.489811704</v>
      </c>
      <c r="N4062" s="273" t="str">
        <f t="shared" si="677"/>
        <v/>
      </c>
      <c r="O4062" s="265"/>
    </row>
    <row r="4063" spans="1:15">
      <c r="A4063" s="285" t="s">
        <v>843</v>
      </c>
      <c r="B4063" s="273">
        <f t="shared" si="678"/>
        <v>0</v>
      </c>
      <c r="C4063" s="273">
        <f t="shared" si="679"/>
        <v>0</v>
      </c>
      <c r="D4063" s="273">
        <f t="shared" si="669"/>
        <v>0</v>
      </c>
      <c r="E4063" s="273">
        <f t="shared" si="670"/>
        <v>0</v>
      </c>
      <c r="F4063" s="275">
        <f t="shared" si="671"/>
        <v>37</v>
      </c>
      <c r="G4063" s="272">
        <v>93</v>
      </c>
      <c r="H4063" s="275">
        <f t="shared" si="668"/>
        <v>3756</v>
      </c>
      <c r="I4063" s="275">
        <f t="shared" si="672"/>
        <v>71</v>
      </c>
      <c r="J4063" s="275">
        <f t="shared" si="673"/>
        <v>23</v>
      </c>
      <c r="K4063" s="273">
        <f t="shared" si="674"/>
        <v>0.78720381578930099</v>
      </c>
      <c r="L4063" s="273">
        <f t="shared" si="675"/>
        <v>124555325.97394142</v>
      </c>
      <c r="M4063" s="273">
        <f t="shared" si="676"/>
        <v>-79365463.489811704</v>
      </c>
      <c r="N4063" s="273" t="str">
        <f t="shared" si="677"/>
        <v/>
      </c>
      <c r="O4063" s="265"/>
    </row>
    <row r="4064" spans="1:15">
      <c r="A4064" s="285" t="s">
        <v>844</v>
      </c>
      <c r="B4064" s="273">
        <f t="shared" si="678"/>
        <v>9.2454039327483251E-2</v>
      </c>
      <c r="C4064" s="273">
        <f t="shared" si="679"/>
        <v>0</v>
      </c>
      <c r="D4064" s="273">
        <f t="shared" si="669"/>
        <v>0</v>
      </c>
      <c r="E4064" s="273">
        <f t="shared" si="670"/>
        <v>0</v>
      </c>
      <c r="F4064" s="275">
        <f t="shared" si="671"/>
        <v>76</v>
      </c>
      <c r="G4064" s="272">
        <v>94</v>
      </c>
      <c r="H4064" s="275">
        <f t="shared" si="668"/>
        <v>7618</v>
      </c>
      <c r="I4064" s="275">
        <f t="shared" si="672"/>
        <v>76</v>
      </c>
      <c r="J4064" s="275">
        <f t="shared" si="673"/>
        <v>32</v>
      </c>
      <c r="K4064" s="273">
        <f t="shared" si="674"/>
        <v>6.1568097408153033</v>
      </c>
      <c r="L4064" s="273">
        <f t="shared" si="675"/>
        <v>124555325.97394142</v>
      </c>
      <c r="M4064" s="273">
        <f t="shared" si="676"/>
        <v>589447552.85340929</v>
      </c>
      <c r="N4064" s="273">
        <f t="shared" si="677"/>
        <v>1.4243942600294446</v>
      </c>
      <c r="O4064" s="265"/>
    </row>
    <row r="4065" spans="1:15">
      <c r="A4065" s="285" t="s">
        <v>845</v>
      </c>
      <c r="B4065" s="273">
        <f t="shared" si="678"/>
        <v>9.2454039327483251E-2</v>
      </c>
      <c r="C4065" s="273">
        <f t="shared" si="679"/>
        <v>0</v>
      </c>
      <c r="D4065" s="273">
        <f t="shared" si="669"/>
        <v>0</v>
      </c>
      <c r="E4065" s="273">
        <f t="shared" si="670"/>
        <v>0</v>
      </c>
      <c r="F4065" s="275">
        <f t="shared" si="671"/>
        <v>76</v>
      </c>
      <c r="G4065" s="272">
        <v>95</v>
      </c>
      <c r="H4065" s="275">
        <f t="shared" si="668"/>
        <v>7619</v>
      </c>
      <c r="I4065" s="275">
        <f t="shared" si="672"/>
        <v>77</v>
      </c>
      <c r="J4065" s="275">
        <f t="shared" si="673"/>
        <v>33</v>
      </c>
      <c r="K4065" s="273">
        <f t="shared" si="674"/>
        <v>6.1568097408153033</v>
      </c>
      <c r="L4065" s="273">
        <f t="shared" si="675"/>
        <v>124555325.97394142</v>
      </c>
      <c r="M4065" s="273">
        <f t="shared" si="676"/>
        <v>589447552.85340929</v>
      </c>
      <c r="N4065" s="273" t="str">
        <f t="shared" si="677"/>
        <v/>
      </c>
      <c r="O4065" s="265"/>
    </row>
    <row r="4066" spans="1:15">
      <c r="A4066" s="285" t="s">
        <v>846</v>
      </c>
      <c r="B4066" s="273">
        <f t="shared" si="678"/>
        <v>0</v>
      </c>
      <c r="C4066" s="273">
        <f t="shared" si="679"/>
        <v>0</v>
      </c>
      <c r="D4066" s="273">
        <f t="shared" si="669"/>
        <v>0</v>
      </c>
      <c r="E4066" s="273">
        <f t="shared" si="670"/>
        <v>0</v>
      </c>
      <c r="F4066" s="275">
        <f t="shared" si="671"/>
        <v>37</v>
      </c>
      <c r="G4066" s="272">
        <v>96</v>
      </c>
      <c r="H4066" s="275">
        <f t="shared" si="668"/>
        <v>3759</v>
      </c>
      <c r="I4066" s="275">
        <f t="shared" si="672"/>
        <v>72</v>
      </c>
      <c r="J4066" s="275">
        <f t="shared" si="673"/>
        <v>28</v>
      </c>
      <c r="K4066" s="273">
        <f t="shared" si="674"/>
        <v>8.8505101466710254</v>
      </c>
      <c r="L4066" s="273">
        <f t="shared" si="675"/>
        <v>124555325.97394142</v>
      </c>
      <c r="M4066" s="273">
        <f t="shared" si="676"/>
        <v>924962284.98090696</v>
      </c>
      <c r="N4066" s="273" t="str">
        <f t="shared" si="677"/>
        <v/>
      </c>
      <c r="O4066" s="265"/>
    </row>
    <row r="4067" spans="1:15">
      <c r="A4067" s="285" t="s">
        <v>847</v>
      </c>
      <c r="B4067" s="273">
        <f t="shared" si="678"/>
        <v>0</v>
      </c>
      <c r="C4067" s="273">
        <f t="shared" si="679"/>
        <v>0</v>
      </c>
      <c r="D4067" s="273">
        <f t="shared" si="669"/>
        <v>0</v>
      </c>
      <c r="E4067" s="273">
        <f t="shared" si="670"/>
        <v>0</v>
      </c>
      <c r="F4067" s="275">
        <f t="shared" si="671"/>
        <v>37</v>
      </c>
      <c r="G4067" s="272">
        <v>97</v>
      </c>
      <c r="H4067" s="275">
        <f t="shared" si="668"/>
        <v>3760</v>
      </c>
      <c r="I4067" s="275">
        <f t="shared" si="672"/>
        <v>73</v>
      </c>
      <c r="J4067" s="275">
        <f t="shared" si="673"/>
        <v>29</v>
      </c>
      <c r="K4067" s="273">
        <f t="shared" si="674"/>
        <v>8.8505101466710254</v>
      </c>
      <c r="L4067" s="273">
        <f t="shared" si="675"/>
        <v>124555325.97394142</v>
      </c>
      <c r="M4067" s="273">
        <f t="shared" si="676"/>
        <v>924962284.98090696</v>
      </c>
      <c r="N4067" s="273" t="str">
        <f t="shared" si="677"/>
        <v/>
      </c>
      <c r="O4067" s="265"/>
    </row>
    <row r="4068" spans="1:15">
      <c r="A4068" s="285" t="s">
        <v>848</v>
      </c>
      <c r="B4068" s="273">
        <f t="shared" si="678"/>
        <v>5.2166056134706255E-2</v>
      </c>
      <c r="C4068" s="273">
        <f t="shared" si="679"/>
        <v>0</v>
      </c>
      <c r="D4068" s="273">
        <f t="shared" si="669"/>
        <v>0</v>
      </c>
      <c r="E4068" s="273">
        <f t="shared" si="670"/>
        <v>0</v>
      </c>
      <c r="F4068" s="275">
        <f t="shared" si="671"/>
        <v>74</v>
      </c>
      <c r="G4068" s="272">
        <v>98</v>
      </c>
      <c r="H4068" s="275">
        <f t="shared" si="668"/>
        <v>7424</v>
      </c>
      <c r="I4068" s="275">
        <f t="shared" si="672"/>
        <v>74</v>
      </c>
      <c r="J4068" s="275">
        <f t="shared" si="673"/>
        <v>24</v>
      </c>
      <c r="K4068" s="273">
        <f t="shared" si="674"/>
        <v>9.6337215953204431</v>
      </c>
      <c r="L4068" s="273">
        <f t="shared" si="675"/>
        <v>124555325.97394142</v>
      </c>
      <c r="M4068" s="273">
        <f t="shared" si="676"/>
        <v>1022515442.2739581</v>
      </c>
      <c r="N4068" s="273" t="str">
        <f t="shared" si="677"/>
        <v/>
      </c>
      <c r="O4068" s="265"/>
    </row>
    <row r="4069" spans="1:15">
      <c r="A4069" s="285" t="s">
        <v>849</v>
      </c>
      <c r="B4069" s="273">
        <f t="shared" si="678"/>
        <v>5.2166056134706255E-2</v>
      </c>
      <c r="C4069" s="273">
        <f t="shared" si="679"/>
        <v>0</v>
      </c>
      <c r="D4069" s="273">
        <f t="shared" si="669"/>
        <v>0</v>
      </c>
      <c r="E4069" s="273">
        <f t="shared" si="670"/>
        <v>0</v>
      </c>
      <c r="F4069" s="275">
        <f t="shared" si="671"/>
        <v>74</v>
      </c>
      <c r="G4069" s="272">
        <v>99</v>
      </c>
      <c r="H4069" s="275">
        <f t="shared" si="668"/>
        <v>7425</v>
      </c>
      <c r="I4069" s="275">
        <f t="shared" si="672"/>
        <v>75</v>
      </c>
      <c r="J4069" s="275">
        <f t="shared" si="673"/>
        <v>25</v>
      </c>
      <c r="K4069" s="273">
        <f t="shared" si="674"/>
        <v>9.6337215953204431</v>
      </c>
      <c r="L4069" s="273">
        <f t="shared" si="675"/>
        <v>124555325.97394142</v>
      </c>
      <c r="M4069" s="273">
        <f t="shared" si="676"/>
        <v>1022515442.2739581</v>
      </c>
      <c r="N4069" s="273" t="str">
        <f t="shared" si="677"/>
        <v/>
      </c>
      <c r="O4069" s="265"/>
    </row>
    <row r="4071" spans="1:15" ht="21" customHeight="1">
      <c r="A4071" s="1" t="s">
        <v>1648</v>
      </c>
    </row>
    <row r="4072" spans="1:15">
      <c r="A4072" s="264" t="s">
        <v>217</v>
      </c>
    </row>
    <row r="4073" spans="1:15">
      <c r="A4073" s="269" t="s">
        <v>1649</v>
      </c>
    </row>
    <row r="4074" spans="1:15">
      <c r="A4074" s="264" t="s">
        <v>850</v>
      </c>
    </row>
    <row r="4076" spans="1:15">
      <c r="B4076" s="284" t="s">
        <v>1650</v>
      </c>
    </row>
    <row r="4077" spans="1:15">
      <c r="A4077" s="285" t="s">
        <v>1650</v>
      </c>
      <c r="B4077" s="273">
        <f>MIN($N$3970:$N$4069)</f>
        <v>1.4243942600294446</v>
      </c>
      <c r="C4077" s="265"/>
    </row>
    <row r="4079" spans="1:15" ht="21" customHeight="1">
      <c r="A4079" s="1" t="s">
        <v>1651</v>
      </c>
    </row>
    <row r="4080" spans="1:15">
      <c r="A4080" s="264" t="s">
        <v>217</v>
      </c>
    </row>
    <row r="4081" spans="1:6">
      <c r="A4081" s="269" t="s">
        <v>686</v>
      </c>
    </row>
    <row r="4082" spans="1:6">
      <c r="A4082" s="269" t="s">
        <v>1652</v>
      </c>
    </row>
    <row r="4083" spans="1:6">
      <c r="A4083" s="269" t="s">
        <v>1653</v>
      </c>
    </row>
    <row r="4084" spans="1:6">
      <c r="A4084" s="269" t="s">
        <v>1654</v>
      </c>
    </row>
    <row r="4085" spans="1:6">
      <c r="A4085" s="269" t="s">
        <v>1655</v>
      </c>
    </row>
    <row r="4086" spans="1:6">
      <c r="A4086" s="269" t="s">
        <v>1656</v>
      </c>
    </row>
    <row r="4087" spans="1:6">
      <c r="A4087" s="269" t="s">
        <v>724</v>
      </c>
    </row>
    <row r="4088" spans="1:6">
      <c r="A4088" s="269" t="s">
        <v>1657</v>
      </c>
    </row>
    <row r="4089" spans="1:6">
      <c r="A4089" s="269" t="s">
        <v>725</v>
      </c>
    </row>
    <row r="4090" spans="1:6">
      <c r="A4090" s="269" t="s">
        <v>1658</v>
      </c>
    </row>
    <row r="4091" spans="1:6">
      <c r="A4091" s="269" t="s">
        <v>726</v>
      </c>
    </row>
    <row r="4092" spans="1:6">
      <c r="A4092" s="270" t="s">
        <v>220</v>
      </c>
      <c r="B4092" s="270" t="s">
        <v>342</v>
      </c>
      <c r="C4092" s="270" t="s">
        <v>342</v>
      </c>
      <c r="D4092" s="270" t="s">
        <v>342</v>
      </c>
      <c r="E4092" s="270" t="s">
        <v>342</v>
      </c>
    </row>
    <row r="4093" spans="1:6">
      <c r="A4093" s="270" t="s">
        <v>223</v>
      </c>
      <c r="B4093" s="270" t="s">
        <v>1659</v>
      </c>
      <c r="C4093" s="270" t="s">
        <v>1660</v>
      </c>
      <c r="D4093" s="270" t="s">
        <v>1661</v>
      </c>
      <c r="E4093" s="270" t="s">
        <v>1662</v>
      </c>
    </row>
    <row r="4095" spans="1:6" ht="30">
      <c r="B4095" s="284" t="s">
        <v>1663</v>
      </c>
      <c r="C4095" s="284" t="s">
        <v>1664</v>
      </c>
      <c r="D4095" s="284" t="s">
        <v>1665</v>
      </c>
      <c r="E4095" s="284" t="s">
        <v>1666</v>
      </c>
    </row>
    <row r="4096" spans="1:6">
      <c r="A4096" s="285" t="s">
        <v>54</v>
      </c>
      <c r="B4096" s="273">
        <f t="shared" ref="B4096:B4128" si="680">IF($B980&lt;0,0,MAX($B$4077,$B3843))</f>
        <v>1.4243942600294446</v>
      </c>
      <c r="C4096" s="291"/>
      <c r="D4096" s="291"/>
      <c r="E4096" s="275">
        <f t="shared" ref="E4096:E4128" si="681">0+10*($B4096*B1268+$C4096*C1268+$D4096*D1268)</f>
        <v>61687162.165056169</v>
      </c>
      <c r="F4096" s="265"/>
    </row>
    <row r="4097" spans="1:6">
      <c r="A4097" s="285" t="s">
        <v>55</v>
      </c>
      <c r="B4097" s="273">
        <f t="shared" si="680"/>
        <v>1.4243942600294446</v>
      </c>
      <c r="C4097" s="273">
        <f>IF($B981&lt;0,0,MAX($B$4077,$C3844))</f>
        <v>1.4243942600294446</v>
      </c>
      <c r="D4097" s="291"/>
      <c r="E4097" s="275">
        <f t="shared" si="681"/>
        <v>18142493.591808621</v>
      </c>
      <c r="F4097" s="265"/>
    </row>
    <row r="4098" spans="1:6">
      <c r="A4098" s="285" t="s">
        <v>91</v>
      </c>
      <c r="B4098" s="273">
        <f t="shared" si="680"/>
        <v>1.4243942600294446</v>
      </c>
      <c r="C4098" s="291"/>
      <c r="D4098" s="291"/>
      <c r="E4098" s="275">
        <f t="shared" si="681"/>
        <v>654647.44782859855</v>
      </c>
      <c r="F4098" s="265"/>
    </row>
    <row r="4099" spans="1:6">
      <c r="A4099" s="285" t="s">
        <v>56</v>
      </c>
      <c r="B4099" s="273">
        <f t="shared" si="680"/>
        <v>1.4243942600294446</v>
      </c>
      <c r="C4099" s="291"/>
      <c r="D4099" s="291"/>
      <c r="E4099" s="275">
        <f t="shared" si="681"/>
        <v>16845515.950945012</v>
      </c>
      <c r="F4099" s="265"/>
    </row>
    <row r="4100" spans="1:6">
      <c r="A4100" s="285" t="s">
        <v>57</v>
      </c>
      <c r="B4100" s="273">
        <f t="shared" si="680"/>
        <v>1.4243942600294446</v>
      </c>
      <c r="C4100" s="273">
        <f>IF($B984&lt;0,0,MAX($B$4077,$C3847))</f>
        <v>1.4243942600294446</v>
      </c>
      <c r="D4100" s="291"/>
      <c r="E4100" s="275">
        <f t="shared" si="681"/>
        <v>8235248.4982561711</v>
      </c>
      <c r="F4100" s="265"/>
    </row>
    <row r="4101" spans="1:6">
      <c r="A4101" s="285" t="s">
        <v>92</v>
      </c>
      <c r="B4101" s="273">
        <f t="shared" si="680"/>
        <v>1.4243942600294446</v>
      </c>
      <c r="C4101" s="291"/>
      <c r="D4101" s="291"/>
      <c r="E4101" s="275">
        <f t="shared" si="681"/>
        <v>246702.51449886974</v>
      </c>
      <c r="F4101" s="265"/>
    </row>
    <row r="4102" spans="1:6">
      <c r="A4102" s="285" t="s">
        <v>58</v>
      </c>
      <c r="B4102" s="273">
        <f t="shared" si="680"/>
        <v>1.4243942600294446</v>
      </c>
      <c r="C4102" s="273">
        <f t="shared" ref="C4102:C4109" si="682">IF($B986&lt;0,0,MAX($B$4077,$C3849))</f>
        <v>1.4243942600294446</v>
      </c>
      <c r="D4102" s="291"/>
      <c r="E4102" s="275">
        <f t="shared" si="681"/>
        <v>1.4243942600294447E-2</v>
      </c>
      <c r="F4102" s="265"/>
    </row>
    <row r="4103" spans="1:6">
      <c r="A4103" s="285" t="s">
        <v>59</v>
      </c>
      <c r="B4103" s="273">
        <f t="shared" si="680"/>
        <v>1.4243942600294446</v>
      </c>
      <c r="C4103" s="273">
        <f t="shared" si="682"/>
        <v>1.4243942600294446</v>
      </c>
      <c r="D4103" s="291"/>
      <c r="E4103" s="275">
        <f t="shared" si="681"/>
        <v>1.4243942600294445E-2</v>
      </c>
      <c r="F4103" s="265"/>
    </row>
    <row r="4104" spans="1:6">
      <c r="A4104" s="285" t="s">
        <v>72</v>
      </c>
      <c r="B4104" s="273">
        <f t="shared" si="680"/>
        <v>1.4243942600294446</v>
      </c>
      <c r="C4104" s="273">
        <f t="shared" si="682"/>
        <v>1.4243942600294446</v>
      </c>
      <c r="D4104" s="291"/>
      <c r="E4104" s="275">
        <f t="shared" si="681"/>
        <v>1.4243942600294447E-2</v>
      </c>
      <c r="F4104" s="265"/>
    </row>
    <row r="4105" spans="1:6">
      <c r="A4105" s="285" t="s">
        <v>1178</v>
      </c>
      <c r="B4105" s="273">
        <f t="shared" si="680"/>
        <v>1.4243942600294446</v>
      </c>
      <c r="C4105" s="273">
        <f t="shared" si="682"/>
        <v>1.4243942600294446</v>
      </c>
      <c r="D4105" s="273">
        <f>IF($B989&lt;0,0,MAX($B$4077,$D3852))</f>
        <v>1.4243942600294446</v>
      </c>
      <c r="E4105" s="275">
        <f t="shared" si="681"/>
        <v>1.8650128766639882</v>
      </c>
      <c r="F4105" s="265"/>
    </row>
    <row r="4106" spans="1:6">
      <c r="A4106" s="285" t="s">
        <v>1177</v>
      </c>
      <c r="B4106" s="273">
        <f t="shared" si="680"/>
        <v>1.4243942600294446</v>
      </c>
      <c r="C4106" s="273">
        <f t="shared" si="682"/>
        <v>1.4243942600294446</v>
      </c>
      <c r="D4106" s="273">
        <f>IF($B990&lt;0,0,MAX($B$4077,$D3853))</f>
        <v>1.4243942600294446</v>
      </c>
      <c r="E4106" s="275">
        <f t="shared" si="681"/>
        <v>5898098.62166801</v>
      </c>
      <c r="F4106" s="265"/>
    </row>
    <row r="4107" spans="1:6">
      <c r="A4107" s="285" t="s">
        <v>60</v>
      </c>
      <c r="B4107" s="273">
        <f t="shared" si="680"/>
        <v>1.4243942600294446</v>
      </c>
      <c r="C4107" s="273">
        <f t="shared" si="682"/>
        <v>1.4243942600294446</v>
      </c>
      <c r="D4107" s="273">
        <f>IF($B991&lt;0,0,MAX($B$4077,$D3854))</f>
        <v>1.4243942600294446</v>
      </c>
      <c r="E4107" s="275">
        <f t="shared" si="681"/>
        <v>18224880.074687514</v>
      </c>
      <c r="F4107" s="265"/>
    </row>
    <row r="4108" spans="1:6">
      <c r="A4108" s="285" t="s">
        <v>61</v>
      </c>
      <c r="B4108" s="273">
        <f t="shared" si="680"/>
        <v>1.4243942600294446</v>
      </c>
      <c r="C4108" s="273">
        <f t="shared" si="682"/>
        <v>1.4243942600294446</v>
      </c>
      <c r="D4108" s="273">
        <f>IF($B992&lt;0,0,MAX($B$4077,$D3855))</f>
        <v>1.4243942600294446</v>
      </c>
      <c r="E4108" s="275">
        <f t="shared" si="681"/>
        <v>10827256.482121779</v>
      </c>
      <c r="F4108" s="265"/>
    </row>
    <row r="4109" spans="1:6">
      <c r="A4109" s="285" t="s">
        <v>73</v>
      </c>
      <c r="B4109" s="273">
        <f t="shared" si="680"/>
        <v>1.4243942600294446</v>
      </c>
      <c r="C4109" s="273">
        <f t="shared" si="682"/>
        <v>1.4243942600294446</v>
      </c>
      <c r="D4109" s="273">
        <f>IF($B993&lt;0,0,MAX($B$4077,$D3856))</f>
        <v>1.4243942600294446</v>
      </c>
      <c r="E4109" s="275">
        <f t="shared" si="681"/>
        <v>34766026.544058591</v>
      </c>
      <c r="F4109" s="265"/>
    </row>
    <row r="4110" spans="1:6">
      <c r="A4110" s="285" t="s">
        <v>93</v>
      </c>
      <c r="B4110" s="273">
        <f t="shared" si="680"/>
        <v>1.4243942600294446</v>
      </c>
      <c r="C4110" s="291"/>
      <c r="D4110" s="291"/>
      <c r="E4110" s="275">
        <f t="shared" si="681"/>
        <v>145525.75119991187</v>
      </c>
      <c r="F4110" s="265"/>
    </row>
    <row r="4111" spans="1:6">
      <c r="A4111" s="285" t="s">
        <v>94</v>
      </c>
      <c r="B4111" s="273">
        <f t="shared" si="680"/>
        <v>1.4243942600294446</v>
      </c>
      <c r="C4111" s="291"/>
      <c r="D4111" s="291"/>
      <c r="E4111" s="275">
        <f t="shared" si="681"/>
        <v>112175.4089106656</v>
      </c>
      <c r="F4111" s="265"/>
    </row>
    <row r="4112" spans="1:6">
      <c r="A4112" s="285" t="s">
        <v>95</v>
      </c>
      <c r="B4112" s="273">
        <f t="shared" si="680"/>
        <v>1.4243942600294446</v>
      </c>
      <c r="C4112" s="291"/>
      <c r="D4112" s="291"/>
      <c r="E4112" s="275">
        <f t="shared" si="681"/>
        <v>14152.039916878617</v>
      </c>
      <c r="F4112" s="265"/>
    </row>
    <row r="4113" spans="1:6">
      <c r="A4113" s="285" t="s">
        <v>96</v>
      </c>
      <c r="B4113" s="273">
        <f t="shared" si="680"/>
        <v>1.4243942600294446</v>
      </c>
      <c r="C4113" s="291"/>
      <c r="D4113" s="291"/>
      <c r="E4113" s="275">
        <f t="shared" si="681"/>
        <v>0</v>
      </c>
      <c r="F4113" s="265"/>
    </row>
    <row r="4114" spans="1:6">
      <c r="A4114" s="285" t="s">
        <v>97</v>
      </c>
      <c r="B4114" s="273">
        <f t="shared" si="680"/>
        <v>1.4243942600294446</v>
      </c>
      <c r="C4114" s="273">
        <f>IF($B998&lt;0,0,MAX($B$4077,$C3861))</f>
        <v>1.4243942600294446</v>
      </c>
      <c r="D4114" s="273">
        <f>IF($B998&lt;0,0,MAX($B$4077,$D3861))</f>
        <v>1.4243942600294446</v>
      </c>
      <c r="E4114" s="275">
        <f t="shared" si="681"/>
        <v>1616004.3746770401</v>
      </c>
      <c r="F4114" s="265"/>
    </row>
    <row r="4115" spans="1:6">
      <c r="A4115" s="285" t="s">
        <v>1176</v>
      </c>
      <c r="B4115" s="273">
        <f t="shared" si="680"/>
        <v>0</v>
      </c>
      <c r="C4115" s="291"/>
      <c r="D4115" s="291"/>
      <c r="E4115" s="275">
        <f t="shared" si="681"/>
        <v>0</v>
      </c>
      <c r="F4115" s="265"/>
    </row>
    <row r="4116" spans="1:6">
      <c r="A4116" s="285" t="s">
        <v>62</v>
      </c>
      <c r="B4116" s="273">
        <f t="shared" si="680"/>
        <v>0</v>
      </c>
      <c r="C4116" s="291"/>
      <c r="D4116" s="291"/>
      <c r="E4116" s="275">
        <f t="shared" si="681"/>
        <v>0</v>
      </c>
      <c r="F4116" s="265"/>
    </row>
    <row r="4117" spans="1:6">
      <c r="A4117" s="285" t="s">
        <v>63</v>
      </c>
      <c r="B4117" s="273">
        <f t="shared" si="680"/>
        <v>0</v>
      </c>
      <c r="C4117" s="291"/>
      <c r="D4117" s="291"/>
      <c r="E4117" s="275">
        <f t="shared" si="681"/>
        <v>0</v>
      </c>
      <c r="F4117" s="265"/>
    </row>
    <row r="4118" spans="1:6">
      <c r="A4118" s="285" t="s">
        <v>1516</v>
      </c>
      <c r="B4118" s="273">
        <f t="shared" si="680"/>
        <v>0</v>
      </c>
      <c r="C4118" s="291"/>
      <c r="D4118" s="291"/>
      <c r="E4118" s="275">
        <f t="shared" si="681"/>
        <v>0</v>
      </c>
      <c r="F4118" s="265"/>
    </row>
    <row r="4119" spans="1:6">
      <c r="A4119" s="285" t="s">
        <v>64</v>
      </c>
      <c r="B4119" s="273">
        <f t="shared" si="680"/>
        <v>0</v>
      </c>
      <c r="C4119" s="273">
        <f>IF($B1003&lt;0,0,MAX($B$4077,$C3866))</f>
        <v>0</v>
      </c>
      <c r="D4119" s="273">
        <f>IF($B1003&lt;0,0,MAX($B$4077,$D3866))</f>
        <v>0</v>
      </c>
      <c r="E4119" s="275">
        <f t="shared" si="681"/>
        <v>0</v>
      </c>
      <c r="F4119" s="265"/>
    </row>
    <row r="4120" spans="1:6">
      <c r="A4120" s="285" t="s">
        <v>1517</v>
      </c>
      <c r="B4120" s="273">
        <f t="shared" si="680"/>
        <v>0</v>
      </c>
      <c r="C4120" s="273">
        <f>IF($B1004&lt;0,0,MAX($B$4077,$C3867))</f>
        <v>0</v>
      </c>
      <c r="D4120" s="273">
        <f>IF($B1004&lt;0,0,MAX($B$4077,$D3867))</f>
        <v>0</v>
      </c>
      <c r="E4120" s="275">
        <f t="shared" si="681"/>
        <v>0</v>
      </c>
      <c r="F4120" s="265"/>
    </row>
    <row r="4121" spans="1:6">
      <c r="A4121" s="285" t="s">
        <v>65</v>
      </c>
      <c r="B4121" s="273">
        <f t="shared" si="680"/>
        <v>0</v>
      </c>
      <c r="C4121" s="291"/>
      <c r="D4121" s="291"/>
      <c r="E4121" s="275">
        <f t="shared" si="681"/>
        <v>0</v>
      </c>
      <c r="F4121" s="265"/>
    </row>
    <row r="4122" spans="1:6">
      <c r="A4122" s="285" t="s">
        <v>1518</v>
      </c>
      <c r="B4122" s="273">
        <f t="shared" si="680"/>
        <v>0</v>
      </c>
      <c r="C4122" s="291"/>
      <c r="D4122" s="291"/>
      <c r="E4122" s="275">
        <f t="shared" si="681"/>
        <v>0</v>
      </c>
      <c r="F4122" s="265"/>
    </row>
    <row r="4123" spans="1:6">
      <c r="A4123" s="285" t="s">
        <v>66</v>
      </c>
      <c r="B4123" s="273">
        <f t="shared" si="680"/>
        <v>0</v>
      </c>
      <c r="C4123" s="273">
        <f>IF($B1007&lt;0,0,MAX($B$4077,$C3870))</f>
        <v>0</v>
      </c>
      <c r="D4123" s="273">
        <f>IF($B1007&lt;0,0,MAX($B$4077,$D3870))</f>
        <v>0</v>
      </c>
      <c r="E4123" s="275">
        <f t="shared" si="681"/>
        <v>0</v>
      </c>
      <c r="F4123" s="265"/>
    </row>
    <row r="4124" spans="1:6">
      <c r="A4124" s="285" t="s">
        <v>1519</v>
      </c>
      <c r="B4124" s="273">
        <f t="shared" si="680"/>
        <v>0</v>
      </c>
      <c r="C4124" s="273">
        <f>IF($B1008&lt;0,0,MAX($B$4077,$C3871))</f>
        <v>0</v>
      </c>
      <c r="D4124" s="273">
        <f>IF($B1008&lt;0,0,MAX($B$4077,$D3871))</f>
        <v>0</v>
      </c>
      <c r="E4124" s="275">
        <f t="shared" si="681"/>
        <v>0</v>
      </c>
      <c r="F4124" s="265"/>
    </row>
    <row r="4125" spans="1:6">
      <c r="A4125" s="285" t="s">
        <v>74</v>
      </c>
      <c r="B4125" s="273">
        <f t="shared" si="680"/>
        <v>0</v>
      </c>
      <c r="C4125" s="291"/>
      <c r="D4125" s="291"/>
      <c r="E4125" s="275">
        <f t="shared" si="681"/>
        <v>0</v>
      </c>
      <c r="F4125" s="265"/>
    </row>
    <row r="4126" spans="1:6">
      <c r="A4126" s="285" t="s">
        <v>1520</v>
      </c>
      <c r="B4126" s="273">
        <f t="shared" si="680"/>
        <v>0</v>
      </c>
      <c r="C4126" s="291"/>
      <c r="D4126" s="291"/>
      <c r="E4126" s="275">
        <f t="shared" si="681"/>
        <v>0</v>
      </c>
      <c r="F4126" s="265"/>
    </row>
    <row r="4127" spans="1:6">
      <c r="A4127" s="285" t="s">
        <v>75</v>
      </c>
      <c r="B4127" s="273">
        <f t="shared" si="680"/>
        <v>0</v>
      </c>
      <c r="C4127" s="273">
        <f>IF($B1011&lt;0,0,MAX($B$4077,$C3874))</f>
        <v>0</v>
      </c>
      <c r="D4127" s="273">
        <f>IF($B1011&lt;0,0,MAX($B$4077,$D3874))</f>
        <v>0</v>
      </c>
      <c r="E4127" s="275">
        <f t="shared" si="681"/>
        <v>0</v>
      </c>
      <c r="F4127" s="265"/>
    </row>
    <row r="4128" spans="1:6">
      <c r="A4128" s="285" t="s">
        <v>1521</v>
      </c>
      <c r="B4128" s="273">
        <f t="shared" si="680"/>
        <v>0</v>
      </c>
      <c r="C4128" s="273">
        <f>IF($B1012&lt;0,0,MAX($B$4077,$C3875))</f>
        <v>0</v>
      </c>
      <c r="D4128" s="273">
        <f>IF($B1012&lt;0,0,MAX($B$4077,$D3875))</f>
        <v>0</v>
      </c>
      <c r="E4128" s="275">
        <f t="shared" si="681"/>
        <v>0</v>
      </c>
      <c r="F4128" s="265"/>
    </row>
    <row r="4130" spans="1:8" ht="21" customHeight="1">
      <c r="A4130" s="1" t="str">
        <f>"Tariff component adjustment and rounding for "&amp;CDCM!B7&amp;" in "&amp;CDCM!C7&amp;" ("&amp;CDCM!D7&amp;")"</f>
        <v>Tariff component adjustment and rounding for 0 in 0 (0)</v>
      </c>
    </row>
    <row r="4132" spans="1:8" ht="21" customHeight="1">
      <c r="A4132" s="1" t="s">
        <v>851</v>
      </c>
    </row>
    <row r="4133" spans="1:8">
      <c r="A4133" s="264" t="s">
        <v>217</v>
      </c>
    </row>
    <row r="4134" spans="1:8">
      <c r="A4134" s="269" t="s">
        <v>1603</v>
      </c>
    </row>
    <row r="4135" spans="1:8">
      <c r="A4135" s="269" t="s">
        <v>1667</v>
      </c>
    </row>
    <row r="4136" spans="1:8">
      <c r="A4136" s="269" t="s">
        <v>1668</v>
      </c>
    </row>
    <row r="4137" spans="1:8">
      <c r="A4137" s="269" t="s">
        <v>1669</v>
      </c>
    </row>
    <row r="4138" spans="1:8">
      <c r="A4138" s="269" t="s">
        <v>1670</v>
      </c>
    </row>
    <row r="4139" spans="1:8">
      <c r="A4139" s="269" t="s">
        <v>1671</v>
      </c>
    </row>
    <row r="4140" spans="1:8">
      <c r="A4140" s="269" t="s">
        <v>1672</v>
      </c>
    </row>
    <row r="4141" spans="1:8">
      <c r="A4141" s="269" t="s">
        <v>1673</v>
      </c>
    </row>
    <row r="4142" spans="1:8">
      <c r="A4142" s="269" t="s">
        <v>1674</v>
      </c>
    </row>
    <row r="4143" spans="1:8">
      <c r="A4143" s="269" t="s">
        <v>1675</v>
      </c>
    </row>
    <row r="4144" spans="1:8">
      <c r="A4144" s="270" t="s">
        <v>220</v>
      </c>
      <c r="B4144" s="270" t="s">
        <v>342</v>
      </c>
      <c r="C4144" s="270" t="s">
        <v>342</v>
      </c>
      <c r="D4144" s="270" t="s">
        <v>342</v>
      </c>
      <c r="E4144" s="270" t="s">
        <v>276</v>
      </c>
      <c r="F4144" s="270" t="s">
        <v>276</v>
      </c>
      <c r="G4144" s="270" t="s">
        <v>276</v>
      </c>
      <c r="H4144" s="270" t="s">
        <v>276</v>
      </c>
    </row>
    <row r="4145" spans="1:9">
      <c r="A4145" s="270" t="s">
        <v>223</v>
      </c>
      <c r="B4145" s="270" t="s">
        <v>852</v>
      </c>
      <c r="C4145" s="270" t="s">
        <v>853</v>
      </c>
      <c r="D4145" s="270" t="s">
        <v>854</v>
      </c>
      <c r="E4145" s="270" t="s">
        <v>1676</v>
      </c>
      <c r="F4145" s="270" t="s">
        <v>1677</v>
      </c>
      <c r="G4145" s="270" t="s">
        <v>1678</v>
      </c>
      <c r="H4145" s="270" t="s">
        <v>1679</v>
      </c>
    </row>
    <row r="4147" spans="1:9" ht="30">
      <c r="B4147" s="284" t="s">
        <v>858</v>
      </c>
      <c r="C4147" s="284" t="s">
        <v>859</v>
      </c>
      <c r="D4147" s="284" t="s">
        <v>860</v>
      </c>
      <c r="E4147" s="284" t="s">
        <v>861</v>
      </c>
      <c r="F4147" s="284" t="s">
        <v>862</v>
      </c>
      <c r="G4147" s="284" t="s">
        <v>1515</v>
      </c>
      <c r="H4147" s="284" t="s">
        <v>720</v>
      </c>
    </row>
    <row r="4148" spans="1:9">
      <c r="A4148" s="285" t="s">
        <v>54</v>
      </c>
      <c r="B4148" s="277">
        <f t="shared" ref="B4148:B4180" si="683">$B3731+$B4096</f>
        <v>3.0218073339925855</v>
      </c>
      <c r="C4148" s="291"/>
      <c r="D4148" s="291"/>
      <c r="E4148" s="277">
        <f>$E3731</f>
        <v>5.8173660011938919</v>
      </c>
      <c r="F4148" s="291"/>
      <c r="G4148" s="291"/>
      <c r="H4148" s="291"/>
      <c r="I4148" s="265"/>
    </row>
    <row r="4149" spans="1:9">
      <c r="A4149" s="285" t="s">
        <v>55</v>
      </c>
      <c r="B4149" s="277">
        <f t="shared" si="683"/>
        <v>3.4056740071173683</v>
      </c>
      <c r="C4149" s="277">
        <f>$C3732+$C4097</f>
        <v>1.5943154902851664</v>
      </c>
      <c r="D4149" s="291"/>
      <c r="E4149" s="277">
        <f>$E3732</f>
        <v>5.8173660011938919</v>
      </c>
      <c r="F4149" s="291"/>
      <c r="G4149" s="291"/>
      <c r="H4149" s="291"/>
      <c r="I4149" s="265"/>
    </row>
    <row r="4150" spans="1:9">
      <c r="A4150" s="285" t="s">
        <v>91</v>
      </c>
      <c r="B4150" s="277">
        <f t="shared" si="683"/>
        <v>1.5732731984832538</v>
      </c>
      <c r="C4150" s="291"/>
      <c r="D4150" s="291"/>
      <c r="E4150" s="291"/>
      <c r="F4150" s="291"/>
      <c r="G4150" s="291"/>
      <c r="H4150" s="291"/>
      <c r="I4150" s="265"/>
    </row>
    <row r="4151" spans="1:9">
      <c r="A4151" s="285" t="s">
        <v>56</v>
      </c>
      <c r="B4151" s="277">
        <f t="shared" si="683"/>
        <v>2.7526722090646429</v>
      </c>
      <c r="C4151" s="291"/>
      <c r="D4151" s="291"/>
      <c r="E4151" s="277">
        <f>$E3734</f>
        <v>9.4099596279529223</v>
      </c>
      <c r="F4151" s="291"/>
      <c r="G4151" s="291"/>
      <c r="H4151" s="291"/>
      <c r="I4151" s="265"/>
    </row>
    <row r="4152" spans="1:9">
      <c r="A4152" s="285" t="s">
        <v>57</v>
      </c>
      <c r="B4152" s="277">
        <f t="shared" si="683"/>
        <v>2.9799906535888177</v>
      </c>
      <c r="C4152" s="277">
        <f>$C3735+$C4100</f>
        <v>1.588344454399601</v>
      </c>
      <c r="D4152" s="291"/>
      <c r="E4152" s="277">
        <f>$E3735</f>
        <v>9.4099596279529223</v>
      </c>
      <c r="F4152" s="291"/>
      <c r="G4152" s="291"/>
      <c r="H4152" s="291"/>
      <c r="I4152" s="265"/>
    </row>
    <row r="4153" spans="1:9">
      <c r="A4153" s="285" t="s">
        <v>92</v>
      </c>
      <c r="B4153" s="277">
        <f t="shared" si="683"/>
        <v>1.5820434683688471</v>
      </c>
      <c r="C4153" s="291"/>
      <c r="D4153" s="291"/>
      <c r="E4153" s="291"/>
      <c r="F4153" s="291"/>
      <c r="G4153" s="291"/>
      <c r="H4153" s="291"/>
      <c r="I4153" s="265"/>
    </row>
    <row r="4154" spans="1:9">
      <c r="A4154" s="285" t="s">
        <v>58</v>
      </c>
      <c r="B4154" s="277">
        <f t="shared" si="683"/>
        <v>2.8199267754723092</v>
      </c>
      <c r="C4154" s="277">
        <f t="shared" ref="C4154:C4161" si="684">$C3737+$C4102</f>
        <v>1.5594795759391158</v>
      </c>
      <c r="D4154" s="291"/>
      <c r="E4154" s="277">
        <f t="shared" ref="E4154:E4161" si="685">$E3737</f>
        <v>41.796281951078036</v>
      </c>
      <c r="F4154" s="291"/>
      <c r="G4154" s="291"/>
      <c r="H4154" s="291"/>
      <c r="I4154" s="265"/>
    </row>
    <row r="4155" spans="1:9">
      <c r="A4155" s="285" t="s">
        <v>59</v>
      </c>
      <c r="B4155" s="277">
        <f t="shared" si="683"/>
        <v>2.6762668671883199</v>
      </c>
      <c r="C4155" s="277">
        <f t="shared" si="684"/>
        <v>1.5445870078647914</v>
      </c>
      <c r="D4155" s="291"/>
      <c r="E4155" s="277">
        <f t="shared" si="685"/>
        <v>28.974613428245771</v>
      </c>
      <c r="F4155" s="291"/>
      <c r="G4155" s="291"/>
      <c r="H4155" s="291"/>
      <c r="I4155" s="265"/>
    </row>
    <row r="4156" spans="1:9">
      <c r="A4156" s="285" t="s">
        <v>72</v>
      </c>
      <c r="B4156" s="277">
        <f t="shared" si="683"/>
        <v>2.1621227192838188</v>
      </c>
      <c r="C4156" s="277">
        <f t="shared" si="684"/>
        <v>1.4840137109790086</v>
      </c>
      <c r="D4156" s="291"/>
      <c r="E4156" s="277">
        <f t="shared" si="685"/>
        <v>194.35913421408878</v>
      </c>
      <c r="F4156" s="291"/>
      <c r="G4156" s="291"/>
      <c r="H4156" s="291"/>
      <c r="I4156" s="265"/>
    </row>
    <row r="4157" spans="1:9">
      <c r="A4157" s="285" t="s">
        <v>1178</v>
      </c>
      <c r="B4157" s="277">
        <f t="shared" si="683"/>
        <v>15.699380746575926</v>
      </c>
      <c r="C4157" s="277">
        <f t="shared" si="684"/>
        <v>2.0127569195352604</v>
      </c>
      <c r="D4157" s="277">
        <f>$D3740+$D4105</f>
        <v>1.5788073870729635</v>
      </c>
      <c r="E4157" s="277">
        <f t="shared" si="685"/>
        <v>5.8173660011938919</v>
      </c>
      <c r="F4157" s="291"/>
      <c r="G4157" s="291"/>
      <c r="H4157" s="291"/>
      <c r="I4157" s="265"/>
    </row>
    <row r="4158" spans="1:9">
      <c r="A4158" s="285" t="s">
        <v>1177</v>
      </c>
      <c r="B4158" s="277">
        <f t="shared" si="683"/>
        <v>15.981793785811075</v>
      </c>
      <c r="C4158" s="277">
        <f t="shared" si="684"/>
        <v>2.0244564945072865</v>
      </c>
      <c r="D4158" s="277">
        <f>$D3741+$D4106</f>
        <v>1.5818677397182039</v>
      </c>
      <c r="E4158" s="277">
        <f t="shared" si="685"/>
        <v>9.4099596279529223</v>
      </c>
      <c r="F4158" s="291"/>
      <c r="G4158" s="291"/>
      <c r="H4158" s="291"/>
      <c r="I4158" s="265"/>
    </row>
    <row r="4159" spans="1:9">
      <c r="A4159" s="285" t="s">
        <v>60</v>
      </c>
      <c r="B4159" s="277">
        <f t="shared" si="683"/>
        <v>11.659045748961608</v>
      </c>
      <c r="C4159" s="277">
        <f t="shared" si="684"/>
        <v>1.8000819428525612</v>
      </c>
      <c r="D4159" s="277">
        <f>$D3742+$D4107</f>
        <v>1.5289119430378257</v>
      </c>
      <c r="E4159" s="277">
        <f t="shared" si="685"/>
        <v>13.273983628288541</v>
      </c>
      <c r="F4159" s="277">
        <f>$F3742</f>
        <v>3.4346372799038583</v>
      </c>
      <c r="G4159" s="277">
        <f>$G3742</f>
        <v>7.8272235890113011</v>
      </c>
      <c r="H4159" s="277">
        <f>$H3742</f>
        <v>0.17105818741741718</v>
      </c>
      <c r="I4159" s="265"/>
    </row>
    <row r="4160" spans="1:9">
      <c r="A4160" s="285" t="s">
        <v>61</v>
      </c>
      <c r="B4160" s="277">
        <f t="shared" si="683"/>
        <v>9.3649611001027573</v>
      </c>
      <c r="C4160" s="277">
        <f t="shared" si="684"/>
        <v>1.6456164713513068</v>
      </c>
      <c r="D4160" s="277">
        <f>$D3743+$D4108</f>
        <v>1.4960597669987614</v>
      </c>
      <c r="E4160" s="277">
        <f t="shared" si="685"/>
        <v>10.223795939845829</v>
      </c>
      <c r="F4160" s="277">
        <f>$F3743</f>
        <v>3.6825715740052334</v>
      </c>
      <c r="G4160" s="277">
        <f>$G3743</f>
        <v>7.5710374238586677</v>
      </c>
      <c r="H4160" s="277">
        <f>$H3743</f>
        <v>0.12085728384224596</v>
      </c>
      <c r="I4160" s="265"/>
    </row>
    <row r="4161" spans="1:9">
      <c r="A4161" s="285" t="s">
        <v>73</v>
      </c>
      <c r="B4161" s="277">
        <f t="shared" si="683"/>
        <v>7.3117537476259402</v>
      </c>
      <c r="C4161" s="277">
        <f t="shared" si="684"/>
        <v>1.5362586666390736</v>
      </c>
      <c r="D4161" s="277">
        <f>$D3744+$D4109</f>
        <v>1.470294320477102</v>
      </c>
      <c r="E4161" s="277">
        <f t="shared" si="685"/>
        <v>101.43191906755858</v>
      </c>
      <c r="F4161" s="277">
        <f>$F3744</f>
        <v>3.1278854125479492</v>
      </c>
      <c r="G4161" s="277">
        <f>$G3744</f>
        <v>7.6759566648578961</v>
      </c>
      <c r="H4161" s="277">
        <f>$H3744</f>
        <v>8.1498961032398259E-2</v>
      </c>
      <c r="I4161" s="265"/>
    </row>
    <row r="4162" spans="1:9">
      <c r="A4162" s="285" t="s">
        <v>93</v>
      </c>
      <c r="B4162" s="277">
        <f t="shared" si="683"/>
        <v>3.3305776519665531</v>
      </c>
      <c r="C4162" s="291"/>
      <c r="D4162" s="291"/>
      <c r="E4162" s="291"/>
      <c r="F4162" s="291"/>
      <c r="G4162" s="291"/>
      <c r="H4162" s="291"/>
      <c r="I4162" s="265"/>
    </row>
    <row r="4163" spans="1:9">
      <c r="A4163" s="285" t="s">
        <v>94</v>
      </c>
      <c r="B4163" s="277">
        <f t="shared" si="683"/>
        <v>3.7519051099756693</v>
      </c>
      <c r="C4163" s="291"/>
      <c r="D4163" s="291"/>
      <c r="E4163" s="291"/>
      <c r="F4163" s="291"/>
      <c r="G4163" s="291"/>
      <c r="H4163" s="291"/>
      <c r="I4163" s="265"/>
    </row>
    <row r="4164" spans="1:9">
      <c r="A4164" s="285" t="s">
        <v>95</v>
      </c>
      <c r="B4164" s="277">
        <f t="shared" si="683"/>
        <v>4.7413180435899527</v>
      </c>
      <c r="C4164" s="291"/>
      <c r="D4164" s="291"/>
      <c r="E4164" s="291"/>
      <c r="F4164" s="291"/>
      <c r="G4164" s="291"/>
      <c r="H4164" s="291"/>
      <c r="I4164" s="265"/>
    </row>
    <row r="4165" spans="1:9">
      <c r="A4165" s="285" t="s">
        <v>96</v>
      </c>
      <c r="B4165" s="277">
        <f t="shared" si="683"/>
        <v>2.9223497873143058</v>
      </c>
      <c r="C4165" s="291"/>
      <c r="D4165" s="291"/>
      <c r="E4165" s="291"/>
      <c r="F4165" s="291"/>
      <c r="G4165" s="291"/>
      <c r="H4165" s="291"/>
      <c r="I4165" s="265"/>
    </row>
    <row r="4166" spans="1:9">
      <c r="A4166" s="285" t="s">
        <v>97</v>
      </c>
      <c r="B4166" s="277">
        <f t="shared" si="683"/>
        <v>38.239467319736498</v>
      </c>
      <c r="C4166" s="277">
        <f>$C3749+$C4114</f>
        <v>2.9755741739401182</v>
      </c>
      <c r="D4166" s="277">
        <f>$D3749+$D4114</f>
        <v>2.5070953063058745</v>
      </c>
      <c r="E4166" s="291"/>
      <c r="F4166" s="291"/>
      <c r="G4166" s="291"/>
      <c r="H4166" s="291"/>
      <c r="I4166" s="265"/>
    </row>
    <row r="4167" spans="1:9">
      <c r="A4167" s="285" t="s">
        <v>1176</v>
      </c>
      <c r="B4167" s="277">
        <f t="shared" si="683"/>
        <v>-0.78720381578930099</v>
      </c>
      <c r="C4167" s="291"/>
      <c r="D4167" s="291"/>
      <c r="E4167" s="277">
        <f t="shared" ref="E4167:E4180" si="686">$E3750</f>
        <v>0</v>
      </c>
      <c r="F4167" s="291"/>
      <c r="G4167" s="291"/>
      <c r="H4167" s="291"/>
      <c r="I4167" s="265"/>
    </row>
    <row r="4168" spans="1:9">
      <c r="A4168" s="285" t="s">
        <v>62</v>
      </c>
      <c r="B4168" s="277">
        <f t="shared" si="683"/>
        <v>-0.71178708684806646</v>
      </c>
      <c r="C4168" s="291"/>
      <c r="D4168" s="291"/>
      <c r="E4168" s="277">
        <f t="shared" si="686"/>
        <v>0</v>
      </c>
      <c r="F4168" s="291"/>
      <c r="G4168" s="291"/>
      <c r="H4168" s="291"/>
      <c r="I4168" s="265"/>
    </row>
    <row r="4169" spans="1:9">
      <c r="A4169" s="285" t="s">
        <v>63</v>
      </c>
      <c r="B4169" s="277">
        <f t="shared" si="683"/>
        <v>-0.78720381578930099</v>
      </c>
      <c r="C4169" s="291"/>
      <c r="D4169" s="291"/>
      <c r="E4169" s="277">
        <f t="shared" si="686"/>
        <v>0</v>
      </c>
      <c r="F4169" s="291"/>
      <c r="G4169" s="291"/>
      <c r="H4169" s="277">
        <f>$H3752</f>
        <v>0.17037210394937577</v>
      </c>
      <c r="I4169" s="265"/>
    </row>
    <row r="4170" spans="1:9">
      <c r="A4170" s="285" t="s">
        <v>1516</v>
      </c>
      <c r="B4170" s="277">
        <f t="shared" si="683"/>
        <v>-0.78720381578930099</v>
      </c>
      <c r="C4170" s="291"/>
      <c r="D4170" s="291"/>
      <c r="E4170" s="277">
        <f t="shared" si="686"/>
        <v>0</v>
      </c>
      <c r="F4170" s="291"/>
      <c r="G4170" s="291"/>
      <c r="H4170" s="291"/>
      <c r="I4170" s="265"/>
    </row>
    <row r="4171" spans="1:9">
      <c r="A4171" s="285" t="s">
        <v>64</v>
      </c>
      <c r="B4171" s="277">
        <f t="shared" si="683"/>
        <v>-9.6337215953204431</v>
      </c>
      <c r="C4171" s="277">
        <f>$C3754+$C4119</f>
        <v>-0.39707451714271191</v>
      </c>
      <c r="D4171" s="277">
        <f>$D3754+$D4119</f>
        <v>-0.10420903556894183</v>
      </c>
      <c r="E4171" s="277">
        <f t="shared" si="686"/>
        <v>0</v>
      </c>
      <c r="F4171" s="291"/>
      <c r="G4171" s="291"/>
      <c r="H4171" s="277">
        <f>$H3754</f>
        <v>0.17037210394937577</v>
      </c>
      <c r="I4171" s="265"/>
    </row>
    <row r="4172" spans="1:9">
      <c r="A4172" s="285" t="s">
        <v>1517</v>
      </c>
      <c r="B4172" s="277">
        <f t="shared" si="683"/>
        <v>-9.6337215953204431</v>
      </c>
      <c r="C4172" s="277">
        <f>$C3755+$C4120</f>
        <v>-0.39707451714271191</v>
      </c>
      <c r="D4172" s="277">
        <f>$D3755+$D4120</f>
        <v>-0.10420903556894183</v>
      </c>
      <c r="E4172" s="277">
        <f t="shared" si="686"/>
        <v>0</v>
      </c>
      <c r="F4172" s="291"/>
      <c r="G4172" s="291"/>
      <c r="H4172" s="291"/>
      <c r="I4172" s="265"/>
    </row>
    <row r="4173" spans="1:9">
      <c r="A4173" s="285" t="s">
        <v>65</v>
      </c>
      <c r="B4173" s="277">
        <f t="shared" si="683"/>
        <v>-0.71178708684806646</v>
      </c>
      <c r="C4173" s="291"/>
      <c r="D4173" s="291"/>
      <c r="E4173" s="277">
        <f t="shared" si="686"/>
        <v>0</v>
      </c>
      <c r="F4173" s="291"/>
      <c r="G4173" s="291"/>
      <c r="H4173" s="277">
        <f>$H3756</f>
        <v>0.14241131915085636</v>
      </c>
      <c r="I4173" s="265"/>
    </row>
    <row r="4174" spans="1:9">
      <c r="A4174" s="285" t="s">
        <v>1518</v>
      </c>
      <c r="B4174" s="277">
        <f t="shared" si="683"/>
        <v>-0.71178708684806646</v>
      </c>
      <c r="C4174" s="291"/>
      <c r="D4174" s="291"/>
      <c r="E4174" s="277">
        <f t="shared" si="686"/>
        <v>0</v>
      </c>
      <c r="F4174" s="291"/>
      <c r="G4174" s="291"/>
      <c r="H4174" s="291"/>
      <c r="I4174" s="265"/>
    </row>
    <row r="4175" spans="1:9">
      <c r="A4175" s="285" t="s">
        <v>66</v>
      </c>
      <c r="B4175" s="277">
        <f t="shared" si="683"/>
        <v>-8.8505101466710254</v>
      </c>
      <c r="C4175" s="277">
        <f>$C3758+$C4123</f>
        <v>-0.34032053417271535</v>
      </c>
      <c r="D4175" s="277">
        <f>$D3758+$D4123</f>
        <v>-9.2454039327483251E-2</v>
      </c>
      <c r="E4175" s="277">
        <f t="shared" si="686"/>
        <v>0</v>
      </c>
      <c r="F4175" s="291"/>
      <c r="G4175" s="291"/>
      <c r="H4175" s="277">
        <f>$H3758</f>
        <v>0.14241131915085636</v>
      </c>
      <c r="I4175" s="265"/>
    </row>
    <row r="4176" spans="1:9">
      <c r="A4176" s="285" t="s">
        <v>1519</v>
      </c>
      <c r="B4176" s="277">
        <f t="shared" si="683"/>
        <v>-8.8505101466710254</v>
      </c>
      <c r="C4176" s="277">
        <f>$C3759+$C4124</f>
        <v>-0.34032053417271535</v>
      </c>
      <c r="D4176" s="277">
        <f>$D3759+$D4124</f>
        <v>-9.2454039327483251E-2</v>
      </c>
      <c r="E4176" s="277">
        <f t="shared" si="686"/>
        <v>0</v>
      </c>
      <c r="F4176" s="291"/>
      <c r="G4176" s="291"/>
      <c r="H4176" s="291"/>
      <c r="I4176" s="265"/>
    </row>
    <row r="4177" spans="1:9">
      <c r="A4177" s="285" t="s">
        <v>74</v>
      </c>
      <c r="B4177" s="277">
        <f t="shared" si="683"/>
        <v>-0.45356433543398189</v>
      </c>
      <c r="C4177" s="291"/>
      <c r="D4177" s="291"/>
      <c r="E4177" s="277">
        <f t="shared" si="686"/>
        <v>48.903754666808268</v>
      </c>
      <c r="F4177" s="291"/>
      <c r="G4177" s="291"/>
      <c r="H4177" s="277">
        <f>$H3760</f>
        <v>0.1090711440424775</v>
      </c>
      <c r="I4177" s="265"/>
    </row>
    <row r="4178" spans="1:9">
      <c r="A4178" s="285" t="s">
        <v>1520</v>
      </c>
      <c r="B4178" s="277">
        <f t="shared" si="683"/>
        <v>-0.45356433543398189</v>
      </c>
      <c r="C4178" s="291"/>
      <c r="D4178" s="291"/>
      <c r="E4178" s="277">
        <f t="shared" si="686"/>
        <v>48.903754666808268</v>
      </c>
      <c r="F4178" s="291"/>
      <c r="G4178" s="291"/>
      <c r="H4178" s="291"/>
      <c r="I4178" s="265"/>
    </row>
    <row r="4179" spans="1:9">
      <c r="A4179" s="285" t="s">
        <v>75</v>
      </c>
      <c r="B4179" s="277">
        <f t="shared" si="683"/>
        <v>-6.1568097408153033</v>
      </c>
      <c r="C4179" s="277">
        <f>$C3762+$C4127</f>
        <v>-0.14787596416559548</v>
      </c>
      <c r="D4179" s="277">
        <f>$D3762+$D4127</f>
        <v>-5.2166056134706255E-2</v>
      </c>
      <c r="E4179" s="277">
        <f t="shared" si="686"/>
        <v>48.903754666808268</v>
      </c>
      <c r="F4179" s="291"/>
      <c r="G4179" s="291"/>
      <c r="H4179" s="277">
        <f>$H3762</f>
        <v>0.1090711440424775</v>
      </c>
      <c r="I4179" s="265"/>
    </row>
    <row r="4180" spans="1:9">
      <c r="A4180" s="285" t="s">
        <v>1521</v>
      </c>
      <c r="B4180" s="277">
        <f t="shared" si="683"/>
        <v>-6.1568097408153033</v>
      </c>
      <c r="C4180" s="277">
        <f>$C3763+$C4128</f>
        <v>-0.14787596416559548</v>
      </c>
      <c r="D4180" s="277">
        <f>$D3763+$D4128</f>
        <v>-5.2166056134706255E-2</v>
      </c>
      <c r="E4180" s="277">
        <f t="shared" si="686"/>
        <v>48.903754666808268</v>
      </c>
      <c r="F4180" s="291"/>
      <c r="G4180" s="291"/>
      <c r="H4180" s="291"/>
      <c r="I4180" s="265"/>
    </row>
    <row r="4182" spans="1:9" ht="21" customHeight="1">
      <c r="A4182" s="1" t="s">
        <v>863</v>
      </c>
    </row>
    <row r="4184" spans="1:9" ht="30">
      <c r="B4184" s="284" t="s">
        <v>858</v>
      </c>
      <c r="C4184" s="284" t="s">
        <v>859</v>
      </c>
      <c r="D4184" s="284" t="s">
        <v>860</v>
      </c>
      <c r="E4184" s="284" t="s">
        <v>861</v>
      </c>
      <c r="F4184" s="284" t="s">
        <v>862</v>
      </c>
      <c r="G4184" s="284" t="s">
        <v>1515</v>
      </c>
      <c r="H4184" s="284" t="s">
        <v>720</v>
      </c>
    </row>
    <row r="4185" spans="1:9">
      <c r="A4185" s="285" t="s">
        <v>864</v>
      </c>
      <c r="B4185" s="272">
        <v>3</v>
      </c>
      <c r="C4185" s="272">
        <v>3</v>
      </c>
      <c r="D4185" s="272">
        <v>3</v>
      </c>
      <c r="E4185" s="272">
        <v>2</v>
      </c>
      <c r="F4185" s="272">
        <v>2</v>
      </c>
      <c r="G4185" s="272">
        <v>2</v>
      </c>
      <c r="H4185" s="272">
        <v>3</v>
      </c>
      <c r="I4185" s="265"/>
    </row>
    <row r="4187" spans="1:9" ht="21" customHeight="1">
      <c r="A4187" s="1" t="s">
        <v>865</v>
      </c>
    </row>
    <row r="4188" spans="1:9">
      <c r="A4188" s="264" t="s">
        <v>217</v>
      </c>
    </row>
    <row r="4189" spans="1:9">
      <c r="A4189" s="269" t="s">
        <v>866</v>
      </c>
    </row>
    <row r="4190" spans="1:9">
      <c r="A4190" s="269" t="s">
        <v>867</v>
      </c>
    </row>
    <row r="4191" spans="1:9">
      <c r="A4191" s="269" t="s">
        <v>868</v>
      </c>
    </row>
    <row r="4192" spans="1:9">
      <c r="A4192" s="269" t="s">
        <v>869</v>
      </c>
    </row>
    <row r="4193" spans="1:9">
      <c r="A4193" s="269" t="s">
        <v>870</v>
      </c>
    </row>
    <row r="4194" spans="1:9">
      <c r="A4194" s="269" t="s">
        <v>871</v>
      </c>
    </row>
    <row r="4195" spans="1:9">
      <c r="A4195" s="269" t="s">
        <v>872</v>
      </c>
    </row>
    <row r="4196" spans="1:9">
      <c r="A4196" s="269" t="s">
        <v>873</v>
      </c>
    </row>
    <row r="4197" spans="1:9">
      <c r="A4197" s="269" t="s">
        <v>874</v>
      </c>
    </row>
    <row r="4198" spans="1:9">
      <c r="A4198" s="269" t="s">
        <v>875</v>
      </c>
    </row>
    <row r="4199" spans="1:9">
      <c r="A4199" s="269" t="s">
        <v>1680</v>
      </c>
    </row>
    <row r="4200" spans="1:9">
      <c r="A4200" s="269" t="s">
        <v>1681</v>
      </c>
    </row>
    <row r="4201" spans="1:9">
      <c r="A4201" s="269" t="s">
        <v>1682</v>
      </c>
    </row>
    <row r="4202" spans="1:9">
      <c r="A4202" s="269" t="s">
        <v>1683</v>
      </c>
    </row>
    <row r="4203" spans="1:9">
      <c r="A4203" s="270" t="s">
        <v>220</v>
      </c>
      <c r="B4203" s="270" t="s">
        <v>342</v>
      </c>
      <c r="C4203" s="270" t="s">
        <v>342</v>
      </c>
      <c r="D4203" s="270" t="s">
        <v>342</v>
      </c>
      <c r="E4203" s="270" t="s">
        <v>342</v>
      </c>
      <c r="F4203" s="270" t="s">
        <v>342</v>
      </c>
      <c r="G4203" s="270" t="s">
        <v>342</v>
      </c>
      <c r="H4203" s="270" t="s">
        <v>342</v>
      </c>
    </row>
    <row r="4204" spans="1:9">
      <c r="A4204" s="270" t="s">
        <v>223</v>
      </c>
      <c r="B4204" s="270" t="s">
        <v>876</v>
      </c>
      <c r="C4204" s="270" t="s">
        <v>877</v>
      </c>
      <c r="D4204" s="270" t="s">
        <v>878</v>
      </c>
      <c r="E4204" s="270" t="s">
        <v>879</v>
      </c>
      <c r="F4204" s="270" t="s">
        <v>880</v>
      </c>
      <c r="G4204" s="270" t="s">
        <v>881</v>
      </c>
      <c r="H4204" s="270" t="s">
        <v>1684</v>
      </c>
    </row>
    <row r="4206" spans="1:9" ht="30">
      <c r="B4206" s="284" t="s">
        <v>858</v>
      </c>
      <c r="C4206" s="284" t="s">
        <v>859</v>
      </c>
      <c r="D4206" s="284" t="s">
        <v>860</v>
      </c>
      <c r="E4206" s="284" t="s">
        <v>861</v>
      </c>
      <c r="F4206" s="284" t="s">
        <v>862</v>
      </c>
      <c r="G4206" s="284" t="s">
        <v>1515</v>
      </c>
      <c r="H4206" s="284" t="s">
        <v>720</v>
      </c>
    </row>
    <row r="4207" spans="1:9">
      <c r="A4207" s="285" t="s">
        <v>54</v>
      </c>
      <c r="B4207" s="277">
        <f t="shared" ref="B4207:C4222" si="687">ROUND(B4148,B$4185)-B4148</f>
        <v>1.926660074142994E-4</v>
      </c>
      <c r="C4207" s="291"/>
      <c r="D4207" s="291"/>
      <c r="E4207" s="277">
        <f>ROUND(E4148,E$4185)-E4148</f>
        <v>2.633998806108373E-3</v>
      </c>
      <c r="F4207" s="291"/>
      <c r="G4207" s="291"/>
      <c r="H4207" s="291"/>
      <c r="I4207" s="265"/>
    </row>
    <row r="4208" spans="1:9">
      <c r="A4208" s="285" t="s">
        <v>55</v>
      </c>
      <c r="B4208" s="277">
        <f t="shared" si="687"/>
        <v>3.2599288263179815E-4</v>
      </c>
      <c r="C4208" s="277">
        <f>ROUND(C4149,C$4185)-C4149</f>
        <v>-3.1549028516630884E-4</v>
      </c>
      <c r="D4208" s="291"/>
      <c r="E4208" s="277">
        <f>ROUND(E4149,E$4185)-E4149</f>
        <v>2.633998806108373E-3</v>
      </c>
      <c r="F4208" s="291"/>
      <c r="G4208" s="291"/>
      <c r="H4208" s="291"/>
      <c r="I4208" s="265"/>
    </row>
    <row r="4209" spans="1:9">
      <c r="A4209" s="285" t="s">
        <v>91</v>
      </c>
      <c r="B4209" s="277">
        <f t="shared" si="687"/>
        <v>-2.7319848325380036E-4</v>
      </c>
      <c r="C4209" s="291"/>
      <c r="D4209" s="291"/>
      <c r="E4209" s="291"/>
      <c r="F4209" s="291"/>
      <c r="G4209" s="291"/>
      <c r="H4209" s="291"/>
      <c r="I4209" s="265"/>
    </row>
    <row r="4210" spans="1:9">
      <c r="A4210" s="285" t="s">
        <v>56</v>
      </c>
      <c r="B4210" s="277">
        <f t="shared" si="687"/>
        <v>3.2779093535717507E-4</v>
      </c>
      <c r="C4210" s="291"/>
      <c r="D4210" s="291"/>
      <c r="E4210" s="277">
        <f>ROUND(E4151,E$4185)-E4151</f>
        <v>4.0372047077852358E-5</v>
      </c>
      <c r="F4210" s="291"/>
      <c r="G4210" s="291"/>
      <c r="H4210" s="291"/>
      <c r="I4210" s="265"/>
    </row>
    <row r="4211" spans="1:9">
      <c r="A4211" s="285" t="s">
        <v>57</v>
      </c>
      <c r="B4211" s="277">
        <f t="shared" si="687"/>
        <v>9.3464111823315932E-6</v>
      </c>
      <c r="C4211" s="277">
        <f>ROUND(C4152,C$4185)-C4152</f>
        <v>-3.4445439960095747E-4</v>
      </c>
      <c r="D4211" s="291"/>
      <c r="E4211" s="277">
        <f>ROUND(E4152,E$4185)-E4152</f>
        <v>4.0372047077852358E-5</v>
      </c>
      <c r="F4211" s="291"/>
      <c r="G4211" s="291"/>
      <c r="H4211" s="291"/>
      <c r="I4211" s="265"/>
    </row>
    <row r="4212" spans="1:9">
      <c r="A4212" s="285" t="s">
        <v>92</v>
      </c>
      <c r="B4212" s="277">
        <f t="shared" si="687"/>
        <v>-4.3468368847054961E-5</v>
      </c>
      <c r="C4212" s="291"/>
      <c r="D4212" s="291"/>
      <c r="E4212" s="291"/>
      <c r="F4212" s="291"/>
      <c r="G4212" s="291"/>
      <c r="H4212" s="291"/>
      <c r="I4212" s="265"/>
    </row>
    <row r="4213" spans="1:9">
      <c r="A4213" s="285" t="s">
        <v>58</v>
      </c>
      <c r="B4213" s="277">
        <f t="shared" si="687"/>
        <v>7.3224527690651797E-5</v>
      </c>
      <c r="C4213" s="277">
        <f t="shared" si="687"/>
        <v>-4.795759391158505E-4</v>
      </c>
      <c r="D4213" s="291"/>
      <c r="E4213" s="277">
        <f t="shared" ref="E4213:H4220" si="688">ROUND(E4154,E$4185)-E4154</f>
        <v>3.7180489219608148E-3</v>
      </c>
      <c r="F4213" s="291"/>
      <c r="G4213" s="291"/>
      <c r="H4213" s="291"/>
      <c r="I4213" s="265"/>
    </row>
    <row r="4214" spans="1:9">
      <c r="A4214" s="285" t="s">
        <v>59</v>
      </c>
      <c r="B4214" s="277">
        <f t="shared" si="687"/>
        <v>-2.6686718831969714E-4</v>
      </c>
      <c r="C4214" s="277">
        <f t="shared" si="687"/>
        <v>4.1299213520851197E-4</v>
      </c>
      <c r="D4214" s="291"/>
      <c r="E4214" s="277">
        <f t="shared" si="688"/>
        <v>-4.6134282457721554E-3</v>
      </c>
      <c r="F4214" s="291"/>
      <c r="G4214" s="291"/>
      <c r="H4214" s="291"/>
      <c r="I4214" s="265"/>
    </row>
    <row r="4215" spans="1:9">
      <c r="A4215" s="285" t="s">
        <v>72</v>
      </c>
      <c r="B4215" s="277">
        <f t="shared" si="687"/>
        <v>-1.2271928381890618E-4</v>
      </c>
      <c r="C4215" s="277">
        <f t="shared" si="687"/>
        <v>-1.3710979008596524E-5</v>
      </c>
      <c r="D4215" s="291"/>
      <c r="E4215" s="277">
        <f t="shared" si="688"/>
        <v>8.6578591123043225E-4</v>
      </c>
      <c r="F4215" s="291"/>
      <c r="G4215" s="291"/>
      <c r="H4215" s="291"/>
      <c r="I4215" s="265"/>
    </row>
    <row r="4216" spans="1:9">
      <c r="A4216" s="285" t="s">
        <v>1178</v>
      </c>
      <c r="B4216" s="277">
        <f t="shared" si="687"/>
        <v>-3.8074657592623851E-4</v>
      </c>
      <c r="C4216" s="277">
        <f t="shared" si="687"/>
        <v>2.4308046473953127E-4</v>
      </c>
      <c r="D4216" s="277">
        <f>ROUND(D4157,D$4185)-D4157</f>
        <v>1.9261292703642852E-4</v>
      </c>
      <c r="E4216" s="277">
        <f t="shared" si="688"/>
        <v>2.633998806108373E-3</v>
      </c>
      <c r="F4216" s="291"/>
      <c r="G4216" s="291"/>
      <c r="H4216" s="291"/>
      <c r="I4216" s="265"/>
    </row>
    <row r="4217" spans="1:9">
      <c r="A4217" s="285" t="s">
        <v>1177</v>
      </c>
      <c r="B4217" s="277">
        <f t="shared" si="687"/>
        <v>2.0621418892474708E-4</v>
      </c>
      <c r="C4217" s="277">
        <f t="shared" si="687"/>
        <v>-4.5649450728646457E-4</v>
      </c>
      <c r="D4217" s="277">
        <f>ROUND(D4158,D$4185)-D4158</f>
        <v>1.3226028179613714E-4</v>
      </c>
      <c r="E4217" s="277">
        <f t="shared" si="688"/>
        <v>4.0372047077852358E-5</v>
      </c>
      <c r="F4217" s="291"/>
      <c r="G4217" s="291"/>
      <c r="H4217" s="291"/>
      <c r="I4217" s="265"/>
    </row>
    <row r="4218" spans="1:9">
      <c r="A4218" s="285" t="s">
        <v>60</v>
      </c>
      <c r="B4218" s="277">
        <f t="shared" si="687"/>
        <v>-4.5748961607472438E-5</v>
      </c>
      <c r="C4218" s="277">
        <f t="shared" si="687"/>
        <v>-8.1942852561134316E-5</v>
      </c>
      <c r="D4218" s="277">
        <f>ROUND(D4159,D$4185)-D4159</f>
        <v>8.8056962174176689E-5</v>
      </c>
      <c r="E4218" s="277">
        <f t="shared" si="688"/>
        <v>-3.9836282885410412E-3</v>
      </c>
      <c r="F4218" s="277">
        <f t="shared" si="688"/>
        <v>-4.6372799038580936E-3</v>
      </c>
      <c r="G4218" s="277">
        <f t="shared" si="688"/>
        <v>2.776410988698963E-3</v>
      </c>
      <c r="H4218" s="277">
        <f t="shared" si="688"/>
        <v>-5.8187417417171483E-5</v>
      </c>
      <c r="I4218" s="265"/>
    </row>
    <row r="4219" spans="1:9">
      <c r="A4219" s="285" t="s">
        <v>61</v>
      </c>
      <c r="B4219" s="277">
        <f t="shared" si="687"/>
        <v>3.889989724292775E-5</v>
      </c>
      <c r="C4219" s="277">
        <f t="shared" si="687"/>
        <v>3.8352864869306558E-4</v>
      </c>
      <c r="D4219" s="277">
        <f>ROUND(D4160,D$4185)-D4160</f>
        <v>-5.9766998761423551E-5</v>
      </c>
      <c r="E4219" s="277">
        <f t="shared" si="688"/>
        <v>-3.7959398458280447E-3</v>
      </c>
      <c r="F4219" s="277">
        <f t="shared" si="688"/>
        <v>-2.5715740052332237E-3</v>
      </c>
      <c r="G4219" s="277">
        <f t="shared" si="688"/>
        <v>-1.0374238586674522E-3</v>
      </c>
      <c r="H4219" s="277">
        <f t="shared" si="688"/>
        <v>1.4271615775403312E-4</v>
      </c>
      <c r="I4219" s="265"/>
    </row>
    <row r="4220" spans="1:9">
      <c r="A4220" s="285" t="s">
        <v>73</v>
      </c>
      <c r="B4220" s="277">
        <f t="shared" si="687"/>
        <v>2.4625237406006306E-4</v>
      </c>
      <c r="C4220" s="277">
        <f t="shared" si="687"/>
        <v>-2.5866663907359033E-4</v>
      </c>
      <c r="D4220" s="277">
        <f>ROUND(D4161,D$4185)-D4161</f>
        <v>-2.9432047710198361E-4</v>
      </c>
      <c r="E4220" s="277">
        <f t="shared" si="688"/>
        <v>-1.9190675585747385E-3</v>
      </c>
      <c r="F4220" s="277">
        <f t="shared" si="688"/>
        <v>2.1145874520507313E-3</v>
      </c>
      <c r="G4220" s="277">
        <f t="shared" si="688"/>
        <v>4.0433351421036434E-3</v>
      </c>
      <c r="H4220" s="277">
        <f t="shared" si="688"/>
        <v>-4.9896103239825684E-4</v>
      </c>
      <c r="I4220" s="265"/>
    </row>
    <row r="4221" spans="1:9">
      <c r="A4221" s="285" t="s">
        <v>93</v>
      </c>
      <c r="B4221" s="277">
        <f t="shared" si="687"/>
        <v>4.2234803344687322E-4</v>
      </c>
      <c r="C4221" s="291"/>
      <c r="D4221" s="291"/>
      <c r="E4221" s="291"/>
      <c r="F4221" s="291"/>
      <c r="G4221" s="291"/>
      <c r="H4221" s="291"/>
      <c r="I4221" s="265"/>
    </row>
    <row r="4222" spans="1:9">
      <c r="A4222" s="285" t="s">
        <v>94</v>
      </c>
      <c r="B4222" s="277">
        <f t="shared" si="687"/>
        <v>9.4890024330496203E-5</v>
      </c>
      <c r="C4222" s="291"/>
      <c r="D4222" s="291"/>
      <c r="E4222" s="291"/>
      <c r="F4222" s="291"/>
      <c r="G4222" s="291"/>
      <c r="H4222" s="291"/>
      <c r="I4222" s="265"/>
    </row>
    <row r="4223" spans="1:9">
      <c r="A4223" s="285" t="s">
        <v>95</v>
      </c>
      <c r="B4223" s="277">
        <f t="shared" ref="B4223:B4239" si="689">ROUND(B4164,B$4185)-B4164</f>
        <v>-3.1804358995302096E-4</v>
      </c>
      <c r="C4223" s="291"/>
      <c r="D4223" s="291"/>
      <c r="E4223" s="291"/>
      <c r="F4223" s="291"/>
      <c r="G4223" s="291"/>
      <c r="H4223" s="291"/>
      <c r="I4223" s="265"/>
    </row>
    <row r="4224" spans="1:9">
      <c r="A4224" s="285" t="s">
        <v>96</v>
      </c>
      <c r="B4224" s="277">
        <f t="shared" si="689"/>
        <v>-3.4978731430568288E-4</v>
      </c>
      <c r="C4224" s="291"/>
      <c r="D4224" s="291"/>
      <c r="E4224" s="291"/>
      <c r="F4224" s="291"/>
      <c r="G4224" s="291"/>
      <c r="H4224" s="291"/>
      <c r="I4224" s="265"/>
    </row>
    <row r="4225" spans="1:9">
      <c r="A4225" s="285" t="s">
        <v>97</v>
      </c>
      <c r="B4225" s="277">
        <f t="shared" si="689"/>
        <v>-4.6731973650082637E-4</v>
      </c>
      <c r="C4225" s="277">
        <f>ROUND(C4166,C$4185)-C4166</f>
        <v>4.2582605988172872E-4</v>
      </c>
      <c r="D4225" s="277">
        <f>ROUND(D4166,D$4185)-D4166</f>
        <v>-9.5306305874398589E-5</v>
      </c>
      <c r="E4225" s="291"/>
      <c r="F4225" s="291"/>
      <c r="G4225" s="291"/>
      <c r="H4225" s="291"/>
      <c r="I4225" s="265"/>
    </row>
    <row r="4226" spans="1:9">
      <c r="A4226" s="285" t="s">
        <v>1176</v>
      </c>
      <c r="B4226" s="277">
        <f t="shared" si="689"/>
        <v>2.0381578930095401E-4</v>
      </c>
      <c r="C4226" s="291"/>
      <c r="D4226" s="291"/>
      <c r="E4226" s="277">
        <f t="shared" ref="E4226:E4239" si="690">ROUND(E4167,E$4185)-E4167</f>
        <v>0</v>
      </c>
      <c r="F4226" s="291"/>
      <c r="G4226" s="291"/>
      <c r="H4226" s="291"/>
      <c r="I4226" s="265"/>
    </row>
    <row r="4227" spans="1:9">
      <c r="A4227" s="285" t="s">
        <v>62</v>
      </c>
      <c r="B4227" s="277">
        <f t="shared" si="689"/>
        <v>-2.1291315193350258E-4</v>
      </c>
      <c r="C4227" s="291"/>
      <c r="D4227" s="291"/>
      <c r="E4227" s="277">
        <f t="shared" si="690"/>
        <v>0</v>
      </c>
      <c r="F4227" s="291"/>
      <c r="G4227" s="291"/>
      <c r="H4227" s="291"/>
      <c r="I4227" s="265"/>
    </row>
    <row r="4228" spans="1:9">
      <c r="A4228" s="285" t="s">
        <v>63</v>
      </c>
      <c r="B4228" s="277">
        <f t="shared" si="689"/>
        <v>2.0381578930095401E-4</v>
      </c>
      <c r="C4228" s="291"/>
      <c r="D4228" s="291"/>
      <c r="E4228" s="277">
        <f t="shared" si="690"/>
        <v>0</v>
      </c>
      <c r="F4228" s="291"/>
      <c r="G4228" s="291"/>
      <c r="H4228" s="277">
        <f>ROUND(H4169,H$4185)-H4169</f>
        <v>-3.7210394937575719E-4</v>
      </c>
      <c r="I4228" s="265"/>
    </row>
    <row r="4229" spans="1:9">
      <c r="A4229" s="285" t="s">
        <v>1516</v>
      </c>
      <c r="B4229" s="277">
        <f t="shared" si="689"/>
        <v>2.0381578930095401E-4</v>
      </c>
      <c r="C4229" s="291"/>
      <c r="D4229" s="291"/>
      <c r="E4229" s="277">
        <f t="shared" si="690"/>
        <v>0</v>
      </c>
      <c r="F4229" s="291"/>
      <c r="G4229" s="291"/>
      <c r="H4229" s="291"/>
      <c r="I4229" s="265"/>
    </row>
    <row r="4230" spans="1:9">
      <c r="A4230" s="285" t="s">
        <v>64</v>
      </c>
      <c r="B4230" s="277">
        <f t="shared" si="689"/>
        <v>-2.7840467955719816E-4</v>
      </c>
      <c r="C4230" s="277">
        <f>ROUND(C4171,C$4185)-C4171</f>
        <v>7.4517142711894024E-5</v>
      </c>
      <c r="D4230" s="277">
        <f>ROUND(D4171,D$4185)-D4171</f>
        <v>2.0903556894183439E-4</v>
      </c>
      <c r="E4230" s="277">
        <f t="shared" si="690"/>
        <v>0</v>
      </c>
      <c r="F4230" s="291"/>
      <c r="G4230" s="291"/>
      <c r="H4230" s="277">
        <f>ROUND(H4171,H$4185)-H4171</f>
        <v>-3.7210394937575719E-4</v>
      </c>
      <c r="I4230" s="265"/>
    </row>
    <row r="4231" spans="1:9">
      <c r="A4231" s="285" t="s">
        <v>1517</v>
      </c>
      <c r="B4231" s="277">
        <f t="shared" si="689"/>
        <v>-2.7840467955719816E-4</v>
      </c>
      <c r="C4231" s="277">
        <f>ROUND(C4172,C$4185)-C4172</f>
        <v>7.4517142711894024E-5</v>
      </c>
      <c r="D4231" s="277">
        <f>ROUND(D4172,D$4185)-D4172</f>
        <v>2.0903556894183439E-4</v>
      </c>
      <c r="E4231" s="277">
        <f t="shared" si="690"/>
        <v>0</v>
      </c>
      <c r="F4231" s="291"/>
      <c r="G4231" s="291"/>
      <c r="H4231" s="291"/>
      <c r="I4231" s="265"/>
    </row>
    <row r="4232" spans="1:9">
      <c r="A4232" s="285" t="s">
        <v>65</v>
      </c>
      <c r="B4232" s="277">
        <f t="shared" si="689"/>
        <v>-2.1291315193350258E-4</v>
      </c>
      <c r="C4232" s="291"/>
      <c r="D4232" s="291"/>
      <c r="E4232" s="277">
        <f t="shared" si="690"/>
        <v>0</v>
      </c>
      <c r="F4232" s="291"/>
      <c r="G4232" s="291"/>
      <c r="H4232" s="277">
        <f>ROUND(H4173,H$4185)-H4173</f>
        <v>-4.1131915085637627E-4</v>
      </c>
      <c r="I4232" s="265"/>
    </row>
    <row r="4233" spans="1:9">
      <c r="A4233" s="285" t="s">
        <v>1518</v>
      </c>
      <c r="B4233" s="277">
        <f t="shared" si="689"/>
        <v>-2.1291315193350258E-4</v>
      </c>
      <c r="C4233" s="291"/>
      <c r="D4233" s="291"/>
      <c r="E4233" s="277">
        <f t="shared" si="690"/>
        <v>0</v>
      </c>
      <c r="F4233" s="291"/>
      <c r="G4233" s="291"/>
      <c r="H4233" s="291"/>
      <c r="I4233" s="265"/>
    </row>
    <row r="4234" spans="1:9">
      <c r="A4234" s="285" t="s">
        <v>66</v>
      </c>
      <c r="B4234" s="277">
        <f t="shared" si="689"/>
        <v>-4.8985332897544254E-4</v>
      </c>
      <c r="C4234" s="277">
        <f>ROUND(C4175,C$4185)-C4175</f>
        <v>3.2053417271532547E-4</v>
      </c>
      <c r="D4234" s="277">
        <f>ROUND(D4175,D$4185)-D4175</f>
        <v>4.5403932748325215E-4</v>
      </c>
      <c r="E4234" s="277">
        <f t="shared" si="690"/>
        <v>0</v>
      </c>
      <c r="F4234" s="291"/>
      <c r="G4234" s="291"/>
      <c r="H4234" s="277">
        <f>ROUND(H4175,H$4185)-H4175</f>
        <v>-4.1131915085637627E-4</v>
      </c>
      <c r="I4234" s="265"/>
    </row>
    <row r="4235" spans="1:9">
      <c r="A4235" s="285" t="s">
        <v>1519</v>
      </c>
      <c r="B4235" s="277">
        <f t="shared" si="689"/>
        <v>-4.8985332897544254E-4</v>
      </c>
      <c r="C4235" s="277">
        <f>ROUND(C4176,C$4185)-C4176</f>
        <v>3.2053417271532547E-4</v>
      </c>
      <c r="D4235" s="277">
        <f>ROUND(D4176,D$4185)-D4176</f>
        <v>4.5403932748325215E-4</v>
      </c>
      <c r="E4235" s="277">
        <f t="shared" si="690"/>
        <v>0</v>
      </c>
      <c r="F4235" s="291"/>
      <c r="G4235" s="291"/>
      <c r="H4235" s="291"/>
      <c r="I4235" s="265"/>
    </row>
    <row r="4236" spans="1:9">
      <c r="A4236" s="285" t="s">
        <v>74</v>
      </c>
      <c r="B4236" s="277">
        <f t="shared" si="689"/>
        <v>-4.3566456601812353E-4</v>
      </c>
      <c r="C4236" s="291"/>
      <c r="D4236" s="291"/>
      <c r="E4236" s="277">
        <f t="shared" si="690"/>
        <v>-3.7546668082697465E-3</v>
      </c>
      <c r="F4236" s="291"/>
      <c r="G4236" s="291"/>
      <c r="H4236" s="277">
        <f>ROUND(H4177,H$4185)-H4177</f>
        <v>-7.1144042477502833E-5</v>
      </c>
      <c r="I4236" s="265"/>
    </row>
    <row r="4237" spans="1:9">
      <c r="A4237" s="285" t="s">
        <v>1520</v>
      </c>
      <c r="B4237" s="277">
        <f t="shared" si="689"/>
        <v>-4.3566456601812353E-4</v>
      </c>
      <c r="C4237" s="291"/>
      <c r="D4237" s="291"/>
      <c r="E4237" s="277">
        <f t="shared" si="690"/>
        <v>-3.7546668082697465E-3</v>
      </c>
      <c r="F4237" s="291"/>
      <c r="G4237" s="291"/>
      <c r="H4237" s="291"/>
      <c r="I4237" s="265"/>
    </row>
    <row r="4238" spans="1:9">
      <c r="A4238" s="285" t="s">
        <v>75</v>
      </c>
      <c r="B4238" s="277">
        <f t="shared" si="689"/>
        <v>-1.9025918469672831E-4</v>
      </c>
      <c r="C4238" s="277">
        <f>ROUND(C4179,C$4185)-C4179</f>
        <v>-1.2403583440451227E-4</v>
      </c>
      <c r="D4238" s="277">
        <f>ROUND(D4179,D$4185)-D4179</f>
        <v>1.660561347062578E-4</v>
      </c>
      <c r="E4238" s="277">
        <f t="shared" si="690"/>
        <v>-3.7546668082697465E-3</v>
      </c>
      <c r="F4238" s="291"/>
      <c r="G4238" s="291"/>
      <c r="H4238" s="277">
        <f>ROUND(H4179,H$4185)-H4179</f>
        <v>-7.1144042477502833E-5</v>
      </c>
      <c r="I4238" s="265"/>
    </row>
    <row r="4239" spans="1:9">
      <c r="A4239" s="285" t="s">
        <v>1521</v>
      </c>
      <c r="B4239" s="277">
        <f t="shared" si="689"/>
        <v>-1.9025918469672831E-4</v>
      </c>
      <c r="C4239" s="277">
        <f>ROUND(C4180,C$4185)-C4180</f>
        <v>-1.2403583440451227E-4</v>
      </c>
      <c r="D4239" s="277">
        <f>ROUND(D4180,D$4185)-D4180</f>
        <v>1.660561347062578E-4</v>
      </c>
      <c r="E4239" s="277">
        <f t="shared" si="690"/>
        <v>-3.7546668082697465E-3</v>
      </c>
      <c r="F4239" s="291"/>
      <c r="G4239" s="291"/>
      <c r="H4239" s="291"/>
      <c r="I4239" s="265"/>
    </row>
    <row r="4241" spans="1:1" ht="21" customHeight="1">
      <c r="A4241" s="1" t="s">
        <v>882</v>
      </c>
    </row>
    <row r="4242" spans="1:1">
      <c r="A4242" s="264" t="s">
        <v>217</v>
      </c>
    </row>
    <row r="4243" spans="1:1">
      <c r="A4243" s="269" t="s">
        <v>866</v>
      </c>
    </row>
    <row r="4244" spans="1:1">
      <c r="A4244" s="269" t="s">
        <v>883</v>
      </c>
    </row>
    <row r="4245" spans="1:1">
      <c r="A4245" s="269" t="s">
        <v>868</v>
      </c>
    </row>
    <row r="4246" spans="1:1">
      <c r="A4246" s="269" t="s">
        <v>884</v>
      </c>
    </row>
    <row r="4247" spans="1:1">
      <c r="A4247" s="269" t="s">
        <v>870</v>
      </c>
    </row>
    <row r="4248" spans="1:1">
      <c r="A4248" s="269" t="s">
        <v>885</v>
      </c>
    </row>
    <row r="4249" spans="1:1">
      <c r="A4249" s="269" t="s">
        <v>872</v>
      </c>
    </row>
    <row r="4250" spans="1:1">
      <c r="A4250" s="269" t="s">
        <v>886</v>
      </c>
    </row>
    <row r="4251" spans="1:1">
      <c r="A4251" s="269" t="s">
        <v>874</v>
      </c>
    </row>
    <row r="4252" spans="1:1">
      <c r="A4252" s="269" t="s">
        <v>887</v>
      </c>
    </row>
    <row r="4253" spans="1:1">
      <c r="A4253" s="269" t="s">
        <v>1680</v>
      </c>
    </row>
    <row r="4254" spans="1:1">
      <c r="A4254" s="269" t="s">
        <v>1685</v>
      </c>
    </row>
    <row r="4255" spans="1:1">
      <c r="A4255" s="269" t="s">
        <v>1682</v>
      </c>
    </row>
    <row r="4256" spans="1:1">
      <c r="A4256" s="269" t="s">
        <v>1686</v>
      </c>
    </row>
    <row r="4257" spans="1:9">
      <c r="A4257" s="270" t="s">
        <v>220</v>
      </c>
      <c r="B4257" s="270" t="s">
        <v>342</v>
      </c>
      <c r="C4257" s="270" t="s">
        <v>342</v>
      </c>
      <c r="D4257" s="270" t="s">
        <v>342</v>
      </c>
      <c r="E4257" s="270" t="s">
        <v>342</v>
      </c>
      <c r="F4257" s="270" t="s">
        <v>342</v>
      </c>
      <c r="G4257" s="270" t="s">
        <v>342</v>
      </c>
      <c r="H4257" s="270" t="s">
        <v>342</v>
      </c>
    </row>
    <row r="4258" spans="1:9">
      <c r="A4258" s="270" t="s">
        <v>223</v>
      </c>
      <c r="B4258" s="270" t="s">
        <v>852</v>
      </c>
      <c r="C4258" s="270" t="s">
        <v>853</v>
      </c>
      <c r="D4258" s="270" t="s">
        <v>854</v>
      </c>
      <c r="E4258" s="270" t="s">
        <v>855</v>
      </c>
      <c r="F4258" s="270" t="s">
        <v>856</v>
      </c>
      <c r="G4258" s="270" t="s">
        <v>857</v>
      </c>
      <c r="H4258" s="270" t="s">
        <v>1687</v>
      </c>
    </row>
    <row r="4260" spans="1:9" ht="30">
      <c r="B4260" s="284" t="s">
        <v>858</v>
      </c>
      <c r="C4260" s="284" t="s">
        <v>859</v>
      </c>
      <c r="D4260" s="284" t="s">
        <v>860</v>
      </c>
      <c r="E4260" s="284" t="s">
        <v>861</v>
      </c>
      <c r="F4260" s="284" t="s">
        <v>862</v>
      </c>
      <c r="G4260" s="284" t="s">
        <v>1515</v>
      </c>
      <c r="H4260" s="284" t="s">
        <v>720</v>
      </c>
    </row>
    <row r="4261" spans="1:9">
      <c r="A4261" s="285" t="s">
        <v>54</v>
      </c>
      <c r="B4261" s="273">
        <f t="shared" ref="B4261:C4276" si="691">B4148+B4207</f>
        <v>3.0219999999999998</v>
      </c>
      <c r="C4261" s="291"/>
      <c r="D4261" s="291"/>
      <c r="E4261" s="278">
        <f>E4148+E4207</f>
        <v>5.82</v>
      </c>
      <c r="F4261" s="291"/>
      <c r="G4261" s="291"/>
      <c r="H4261" s="291"/>
      <c r="I4261" s="265"/>
    </row>
    <row r="4262" spans="1:9">
      <c r="A4262" s="285" t="s">
        <v>55</v>
      </c>
      <c r="B4262" s="273">
        <f t="shared" si="691"/>
        <v>3.4060000000000001</v>
      </c>
      <c r="C4262" s="273">
        <f>C4149+C4208</f>
        <v>1.5940000000000001</v>
      </c>
      <c r="D4262" s="291"/>
      <c r="E4262" s="278">
        <f>E4149+E4208</f>
        <v>5.82</v>
      </c>
      <c r="F4262" s="291"/>
      <c r="G4262" s="291"/>
      <c r="H4262" s="291"/>
      <c r="I4262" s="265"/>
    </row>
    <row r="4263" spans="1:9">
      <c r="A4263" s="285" t="s">
        <v>91</v>
      </c>
      <c r="B4263" s="273">
        <f t="shared" si="691"/>
        <v>1.573</v>
      </c>
      <c r="C4263" s="291"/>
      <c r="D4263" s="291"/>
      <c r="E4263" s="291"/>
      <c r="F4263" s="291"/>
      <c r="G4263" s="291"/>
      <c r="H4263" s="291"/>
      <c r="I4263" s="265"/>
    </row>
    <row r="4264" spans="1:9">
      <c r="A4264" s="285" t="s">
        <v>56</v>
      </c>
      <c r="B4264" s="273">
        <f t="shared" si="691"/>
        <v>2.7530000000000001</v>
      </c>
      <c r="C4264" s="291"/>
      <c r="D4264" s="291"/>
      <c r="E4264" s="278">
        <f>E4151+E4210</f>
        <v>9.41</v>
      </c>
      <c r="F4264" s="291"/>
      <c r="G4264" s="291"/>
      <c r="H4264" s="291"/>
      <c r="I4264" s="265"/>
    </row>
    <row r="4265" spans="1:9">
      <c r="A4265" s="285" t="s">
        <v>57</v>
      </c>
      <c r="B4265" s="273">
        <f t="shared" si="691"/>
        <v>2.98</v>
      </c>
      <c r="C4265" s="273">
        <f>C4152+C4211</f>
        <v>1.5880000000000001</v>
      </c>
      <c r="D4265" s="291"/>
      <c r="E4265" s="278">
        <f>E4152+E4211</f>
        <v>9.41</v>
      </c>
      <c r="F4265" s="291"/>
      <c r="G4265" s="291"/>
      <c r="H4265" s="291"/>
      <c r="I4265" s="265"/>
    </row>
    <row r="4266" spans="1:9">
      <c r="A4266" s="285" t="s">
        <v>92</v>
      </c>
      <c r="B4266" s="273">
        <f t="shared" si="691"/>
        <v>1.5820000000000001</v>
      </c>
      <c r="C4266" s="291"/>
      <c r="D4266" s="291"/>
      <c r="E4266" s="291"/>
      <c r="F4266" s="291"/>
      <c r="G4266" s="291"/>
      <c r="H4266" s="291"/>
      <c r="I4266" s="265"/>
    </row>
    <row r="4267" spans="1:9">
      <c r="A4267" s="285" t="s">
        <v>58</v>
      </c>
      <c r="B4267" s="273">
        <f t="shared" si="691"/>
        <v>2.82</v>
      </c>
      <c r="C4267" s="273">
        <f t="shared" si="691"/>
        <v>1.5589999999999999</v>
      </c>
      <c r="D4267" s="291"/>
      <c r="E4267" s="278">
        <f t="shared" ref="E4267:H4274" si="692">E4154+E4213</f>
        <v>41.8</v>
      </c>
      <c r="F4267" s="291"/>
      <c r="G4267" s="291"/>
      <c r="H4267" s="291"/>
      <c r="I4267" s="265"/>
    </row>
    <row r="4268" spans="1:9">
      <c r="A4268" s="285" t="s">
        <v>59</v>
      </c>
      <c r="B4268" s="273">
        <f t="shared" si="691"/>
        <v>2.6760000000000002</v>
      </c>
      <c r="C4268" s="273">
        <f t="shared" si="691"/>
        <v>1.5449999999999999</v>
      </c>
      <c r="D4268" s="291"/>
      <c r="E4268" s="278">
        <f t="shared" si="692"/>
        <v>28.97</v>
      </c>
      <c r="F4268" s="291"/>
      <c r="G4268" s="291"/>
      <c r="H4268" s="291"/>
      <c r="I4268" s="265"/>
    </row>
    <row r="4269" spans="1:9">
      <c r="A4269" s="285" t="s">
        <v>72</v>
      </c>
      <c r="B4269" s="273">
        <f t="shared" si="691"/>
        <v>2.1619999999999999</v>
      </c>
      <c r="C4269" s="273">
        <f t="shared" si="691"/>
        <v>1.484</v>
      </c>
      <c r="D4269" s="291"/>
      <c r="E4269" s="278">
        <f t="shared" si="692"/>
        <v>194.36</v>
      </c>
      <c r="F4269" s="291"/>
      <c r="G4269" s="291"/>
      <c r="H4269" s="291"/>
      <c r="I4269" s="265"/>
    </row>
    <row r="4270" spans="1:9">
      <c r="A4270" s="285" t="s">
        <v>1178</v>
      </c>
      <c r="B4270" s="273">
        <f t="shared" si="691"/>
        <v>15.699</v>
      </c>
      <c r="C4270" s="273">
        <f t="shared" si="691"/>
        <v>2.0129999999999999</v>
      </c>
      <c r="D4270" s="273">
        <f>D4157+D4216</f>
        <v>1.579</v>
      </c>
      <c r="E4270" s="278">
        <f t="shared" si="692"/>
        <v>5.82</v>
      </c>
      <c r="F4270" s="291"/>
      <c r="G4270" s="291"/>
      <c r="H4270" s="291"/>
      <c r="I4270" s="265"/>
    </row>
    <row r="4271" spans="1:9">
      <c r="A4271" s="285" t="s">
        <v>1177</v>
      </c>
      <c r="B4271" s="273">
        <f t="shared" si="691"/>
        <v>15.981999999999999</v>
      </c>
      <c r="C4271" s="273">
        <f t="shared" si="691"/>
        <v>2.024</v>
      </c>
      <c r="D4271" s="273">
        <f>D4158+D4217</f>
        <v>1.5820000000000001</v>
      </c>
      <c r="E4271" s="278">
        <f t="shared" si="692"/>
        <v>9.41</v>
      </c>
      <c r="F4271" s="291"/>
      <c r="G4271" s="291"/>
      <c r="H4271" s="291"/>
      <c r="I4271" s="265"/>
    </row>
    <row r="4272" spans="1:9">
      <c r="A4272" s="285" t="s">
        <v>60</v>
      </c>
      <c r="B4272" s="273">
        <f t="shared" si="691"/>
        <v>11.659000000000001</v>
      </c>
      <c r="C4272" s="273">
        <f t="shared" si="691"/>
        <v>1.8</v>
      </c>
      <c r="D4272" s="273">
        <f>D4159+D4218</f>
        <v>1.5289999999999999</v>
      </c>
      <c r="E4272" s="278">
        <f t="shared" si="692"/>
        <v>13.27</v>
      </c>
      <c r="F4272" s="278">
        <f t="shared" si="692"/>
        <v>3.43</v>
      </c>
      <c r="G4272" s="278">
        <f t="shared" si="692"/>
        <v>7.83</v>
      </c>
      <c r="H4272" s="273">
        <f t="shared" si="692"/>
        <v>0.17100000000000001</v>
      </c>
      <c r="I4272" s="265"/>
    </row>
    <row r="4273" spans="1:9">
      <c r="A4273" s="285" t="s">
        <v>61</v>
      </c>
      <c r="B4273" s="273">
        <f t="shared" si="691"/>
        <v>9.3650000000000002</v>
      </c>
      <c r="C4273" s="273">
        <f t="shared" si="691"/>
        <v>1.6459999999999999</v>
      </c>
      <c r="D4273" s="273">
        <f>D4160+D4219</f>
        <v>1.496</v>
      </c>
      <c r="E4273" s="278">
        <f t="shared" si="692"/>
        <v>10.220000000000001</v>
      </c>
      <c r="F4273" s="278">
        <f t="shared" si="692"/>
        <v>3.68</v>
      </c>
      <c r="G4273" s="278">
        <f t="shared" si="692"/>
        <v>7.57</v>
      </c>
      <c r="H4273" s="273">
        <f t="shared" si="692"/>
        <v>0.121</v>
      </c>
      <c r="I4273" s="265"/>
    </row>
    <row r="4274" spans="1:9">
      <c r="A4274" s="285" t="s">
        <v>73</v>
      </c>
      <c r="B4274" s="273">
        <f t="shared" si="691"/>
        <v>7.3120000000000003</v>
      </c>
      <c r="C4274" s="273">
        <f t="shared" si="691"/>
        <v>1.536</v>
      </c>
      <c r="D4274" s="273">
        <f>D4161+D4220</f>
        <v>1.47</v>
      </c>
      <c r="E4274" s="278">
        <f t="shared" si="692"/>
        <v>101.43</v>
      </c>
      <c r="F4274" s="278">
        <f t="shared" si="692"/>
        <v>3.13</v>
      </c>
      <c r="G4274" s="278">
        <f t="shared" si="692"/>
        <v>7.68</v>
      </c>
      <c r="H4274" s="273">
        <f t="shared" si="692"/>
        <v>8.1000000000000003E-2</v>
      </c>
      <c r="I4274" s="265"/>
    </row>
    <row r="4275" spans="1:9">
      <c r="A4275" s="285" t="s">
        <v>93</v>
      </c>
      <c r="B4275" s="273">
        <f t="shared" si="691"/>
        <v>3.331</v>
      </c>
      <c r="C4275" s="291"/>
      <c r="D4275" s="291"/>
      <c r="E4275" s="291"/>
      <c r="F4275" s="291"/>
      <c r="G4275" s="291"/>
      <c r="H4275" s="291"/>
      <c r="I4275" s="265"/>
    </row>
    <row r="4276" spans="1:9">
      <c r="A4276" s="285" t="s">
        <v>94</v>
      </c>
      <c r="B4276" s="273">
        <f t="shared" si="691"/>
        <v>3.7519999999999998</v>
      </c>
      <c r="C4276" s="291"/>
      <c r="D4276" s="291"/>
      <c r="E4276" s="291"/>
      <c r="F4276" s="291"/>
      <c r="G4276" s="291"/>
      <c r="H4276" s="291"/>
      <c r="I4276" s="265"/>
    </row>
    <row r="4277" spans="1:9">
      <c r="A4277" s="285" t="s">
        <v>95</v>
      </c>
      <c r="B4277" s="273">
        <f t="shared" ref="B4277:B4293" si="693">B4164+B4223</f>
        <v>4.7409999999999997</v>
      </c>
      <c r="C4277" s="291"/>
      <c r="D4277" s="291"/>
      <c r="E4277" s="291"/>
      <c r="F4277" s="291"/>
      <c r="G4277" s="291"/>
      <c r="H4277" s="291"/>
      <c r="I4277" s="265"/>
    </row>
    <row r="4278" spans="1:9">
      <c r="A4278" s="285" t="s">
        <v>96</v>
      </c>
      <c r="B4278" s="273">
        <f t="shared" si="693"/>
        <v>2.9220000000000002</v>
      </c>
      <c r="C4278" s="291"/>
      <c r="D4278" s="291"/>
      <c r="E4278" s="291"/>
      <c r="F4278" s="291"/>
      <c r="G4278" s="291"/>
      <c r="H4278" s="291"/>
      <c r="I4278" s="265"/>
    </row>
    <row r="4279" spans="1:9">
      <c r="A4279" s="285" t="s">
        <v>97</v>
      </c>
      <c r="B4279" s="273">
        <f t="shared" si="693"/>
        <v>38.238999999999997</v>
      </c>
      <c r="C4279" s="273">
        <f>C4166+C4225</f>
        <v>2.976</v>
      </c>
      <c r="D4279" s="273">
        <f>D4166+D4225</f>
        <v>2.5070000000000001</v>
      </c>
      <c r="E4279" s="291"/>
      <c r="F4279" s="291"/>
      <c r="G4279" s="291"/>
      <c r="H4279" s="291"/>
      <c r="I4279" s="265"/>
    </row>
    <row r="4280" spans="1:9">
      <c r="A4280" s="285" t="s">
        <v>1176</v>
      </c>
      <c r="B4280" s="273">
        <f t="shared" si="693"/>
        <v>-0.78700000000000003</v>
      </c>
      <c r="C4280" s="291"/>
      <c r="D4280" s="291"/>
      <c r="E4280" s="278">
        <f t="shared" ref="E4280:E4293" si="694">E4167+E4226</f>
        <v>0</v>
      </c>
      <c r="F4280" s="291"/>
      <c r="G4280" s="291"/>
      <c r="H4280" s="291"/>
      <c r="I4280" s="265"/>
    </row>
    <row r="4281" spans="1:9">
      <c r="A4281" s="285" t="s">
        <v>62</v>
      </c>
      <c r="B4281" s="273">
        <f t="shared" si="693"/>
        <v>-0.71199999999999997</v>
      </c>
      <c r="C4281" s="291"/>
      <c r="D4281" s="291"/>
      <c r="E4281" s="278">
        <f t="shared" si="694"/>
        <v>0</v>
      </c>
      <c r="F4281" s="291"/>
      <c r="G4281" s="291"/>
      <c r="H4281" s="291"/>
      <c r="I4281" s="265"/>
    </row>
    <row r="4282" spans="1:9">
      <c r="A4282" s="285" t="s">
        <v>63</v>
      </c>
      <c r="B4282" s="273">
        <f t="shared" si="693"/>
        <v>-0.78700000000000003</v>
      </c>
      <c r="C4282" s="291"/>
      <c r="D4282" s="291"/>
      <c r="E4282" s="278">
        <f t="shared" si="694"/>
        <v>0</v>
      </c>
      <c r="F4282" s="291"/>
      <c r="G4282" s="291"/>
      <c r="H4282" s="273">
        <f>H4169+H4228</f>
        <v>0.17</v>
      </c>
      <c r="I4282" s="265"/>
    </row>
    <row r="4283" spans="1:9">
      <c r="A4283" s="285" t="s">
        <v>1516</v>
      </c>
      <c r="B4283" s="273">
        <f t="shared" si="693"/>
        <v>-0.78700000000000003</v>
      </c>
      <c r="C4283" s="291"/>
      <c r="D4283" s="291"/>
      <c r="E4283" s="278">
        <f t="shared" si="694"/>
        <v>0</v>
      </c>
      <c r="F4283" s="291"/>
      <c r="G4283" s="291"/>
      <c r="H4283" s="291"/>
      <c r="I4283" s="265"/>
    </row>
    <row r="4284" spans="1:9">
      <c r="A4284" s="285" t="s">
        <v>64</v>
      </c>
      <c r="B4284" s="273">
        <f t="shared" si="693"/>
        <v>-9.6340000000000003</v>
      </c>
      <c r="C4284" s="273">
        <f>C4171+C4230</f>
        <v>-0.39700000000000002</v>
      </c>
      <c r="D4284" s="273">
        <f>D4171+D4230</f>
        <v>-0.104</v>
      </c>
      <c r="E4284" s="278">
        <f t="shared" si="694"/>
        <v>0</v>
      </c>
      <c r="F4284" s="291"/>
      <c r="G4284" s="291"/>
      <c r="H4284" s="273">
        <f>H4171+H4230</f>
        <v>0.17</v>
      </c>
      <c r="I4284" s="265"/>
    </row>
    <row r="4285" spans="1:9">
      <c r="A4285" s="285" t="s">
        <v>1517</v>
      </c>
      <c r="B4285" s="273">
        <f t="shared" si="693"/>
        <v>-9.6340000000000003</v>
      </c>
      <c r="C4285" s="273">
        <f>C4172+C4231</f>
        <v>-0.39700000000000002</v>
      </c>
      <c r="D4285" s="273">
        <f>D4172+D4231</f>
        <v>-0.104</v>
      </c>
      <c r="E4285" s="278">
        <f t="shared" si="694"/>
        <v>0</v>
      </c>
      <c r="F4285" s="291"/>
      <c r="G4285" s="291"/>
      <c r="H4285" s="291"/>
      <c r="I4285" s="265"/>
    </row>
    <row r="4286" spans="1:9">
      <c r="A4286" s="285" t="s">
        <v>65</v>
      </c>
      <c r="B4286" s="273">
        <f t="shared" si="693"/>
        <v>-0.71199999999999997</v>
      </c>
      <c r="C4286" s="291"/>
      <c r="D4286" s="291"/>
      <c r="E4286" s="278">
        <f t="shared" si="694"/>
        <v>0</v>
      </c>
      <c r="F4286" s="291"/>
      <c r="G4286" s="291"/>
      <c r="H4286" s="273">
        <f>H4173+H4232</f>
        <v>0.14199999999999999</v>
      </c>
      <c r="I4286" s="265"/>
    </row>
    <row r="4287" spans="1:9">
      <c r="A4287" s="285" t="s">
        <v>1518</v>
      </c>
      <c r="B4287" s="273">
        <f t="shared" si="693"/>
        <v>-0.71199999999999997</v>
      </c>
      <c r="C4287" s="291"/>
      <c r="D4287" s="291"/>
      <c r="E4287" s="278">
        <f t="shared" si="694"/>
        <v>0</v>
      </c>
      <c r="F4287" s="291"/>
      <c r="G4287" s="291"/>
      <c r="H4287" s="291"/>
      <c r="I4287" s="265"/>
    </row>
    <row r="4288" spans="1:9">
      <c r="A4288" s="285" t="s">
        <v>66</v>
      </c>
      <c r="B4288" s="273">
        <f t="shared" si="693"/>
        <v>-8.8510000000000009</v>
      </c>
      <c r="C4288" s="273">
        <f>C4175+C4234</f>
        <v>-0.34</v>
      </c>
      <c r="D4288" s="273">
        <f>D4175+D4234</f>
        <v>-9.1999999999999998E-2</v>
      </c>
      <c r="E4288" s="278">
        <f t="shared" si="694"/>
        <v>0</v>
      </c>
      <c r="F4288" s="291"/>
      <c r="G4288" s="291"/>
      <c r="H4288" s="273">
        <f>H4175+H4234</f>
        <v>0.14199999999999999</v>
      </c>
      <c r="I4288" s="265"/>
    </row>
    <row r="4289" spans="1:9">
      <c r="A4289" s="285" t="s">
        <v>1519</v>
      </c>
      <c r="B4289" s="273">
        <f t="shared" si="693"/>
        <v>-8.8510000000000009</v>
      </c>
      <c r="C4289" s="273">
        <f>C4176+C4235</f>
        <v>-0.34</v>
      </c>
      <c r="D4289" s="273">
        <f>D4176+D4235</f>
        <v>-9.1999999999999998E-2</v>
      </c>
      <c r="E4289" s="278">
        <f t="shared" si="694"/>
        <v>0</v>
      </c>
      <c r="F4289" s="291"/>
      <c r="G4289" s="291"/>
      <c r="H4289" s="291"/>
      <c r="I4289" s="265"/>
    </row>
    <row r="4290" spans="1:9">
      <c r="A4290" s="285" t="s">
        <v>74</v>
      </c>
      <c r="B4290" s="273">
        <f t="shared" si="693"/>
        <v>-0.45400000000000001</v>
      </c>
      <c r="C4290" s="291"/>
      <c r="D4290" s="291"/>
      <c r="E4290" s="278">
        <f t="shared" si="694"/>
        <v>48.9</v>
      </c>
      <c r="F4290" s="291"/>
      <c r="G4290" s="291"/>
      <c r="H4290" s="273">
        <f>H4177+H4236</f>
        <v>0.109</v>
      </c>
      <c r="I4290" s="265"/>
    </row>
    <row r="4291" spans="1:9">
      <c r="A4291" s="285" t="s">
        <v>1520</v>
      </c>
      <c r="B4291" s="273">
        <f t="shared" si="693"/>
        <v>-0.45400000000000001</v>
      </c>
      <c r="C4291" s="291"/>
      <c r="D4291" s="291"/>
      <c r="E4291" s="278">
        <f t="shared" si="694"/>
        <v>48.9</v>
      </c>
      <c r="F4291" s="291"/>
      <c r="G4291" s="291"/>
      <c r="H4291" s="291"/>
      <c r="I4291" s="265"/>
    </row>
    <row r="4292" spans="1:9">
      <c r="A4292" s="285" t="s">
        <v>75</v>
      </c>
      <c r="B4292" s="273">
        <f t="shared" si="693"/>
        <v>-6.157</v>
      </c>
      <c r="C4292" s="273">
        <f>C4179+C4238</f>
        <v>-0.14799999999999999</v>
      </c>
      <c r="D4292" s="273">
        <f>D4179+D4238</f>
        <v>-5.1999999999999998E-2</v>
      </c>
      <c r="E4292" s="278">
        <f t="shared" si="694"/>
        <v>48.9</v>
      </c>
      <c r="F4292" s="291"/>
      <c r="G4292" s="291"/>
      <c r="H4292" s="273">
        <f>H4179+H4238</f>
        <v>0.109</v>
      </c>
      <c r="I4292" s="265"/>
    </row>
    <row r="4293" spans="1:9">
      <c r="A4293" s="285" t="s">
        <v>1521</v>
      </c>
      <c r="B4293" s="273">
        <f t="shared" si="693"/>
        <v>-6.157</v>
      </c>
      <c r="C4293" s="273">
        <f>C4180+C4239</f>
        <v>-0.14799999999999999</v>
      </c>
      <c r="D4293" s="273">
        <f>D4180+D4239</f>
        <v>-5.1999999999999998E-2</v>
      </c>
      <c r="E4293" s="278">
        <f t="shared" si="694"/>
        <v>48.9</v>
      </c>
      <c r="F4293" s="291"/>
      <c r="G4293" s="291"/>
      <c r="H4293" s="291"/>
      <c r="I4293" s="265"/>
    </row>
    <row r="4295" spans="1:9" ht="21" customHeight="1">
      <c r="A4295" s="1" t="s">
        <v>888</v>
      </c>
    </row>
    <row r="4296" spans="1:9">
      <c r="A4296" s="264" t="s">
        <v>217</v>
      </c>
    </row>
    <row r="4297" spans="1:9">
      <c r="A4297" s="269" t="s">
        <v>338</v>
      </c>
    </row>
    <row r="4298" spans="1:9">
      <c r="A4298" s="269" t="s">
        <v>889</v>
      </c>
    </row>
    <row r="4299" spans="1:9">
      <c r="A4299" s="269" t="s">
        <v>722</v>
      </c>
    </row>
    <row r="4300" spans="1:9">
      <c r="A4300" s="269" t="s">
        <v>890</v>
      </c>
    </row>
    <row r="4301" spans="1:9">
      <c r="A4301" s="269" t="s">
        <v>723</v>
      </c>
    </row>
    <row r="4302" spans="1:9">
      <c r="A4302" s="269" t="s">
        <v>1688</v>
      </c>
    </row>
    <row r="4303" spans="1:9">
      <c r="A4303" s="269" t="s">
        <v>1592</v>
      </c>
    </row>
    <row r="4304" spans="1:9">
      <c r="A4304" s="269" t="s">
        <v>1689</v>
      </c>
    </row>
    <row r="4305" spans="1:3">
      <c r="A4305" s="269" t="s">
        <v>1594</v>
      </c>
    </row>
    <row r="4306" spans="1:3">
      <c r="A4306" s="269" t="s">
        <v>1690</v>
      </c>
    </row>
    <row r="4307" spans="1:3">
      <c r="A4307" s="269" t="s">
        <v>1596</v>
      </c>
    </row>
    <row r="4308" spans="1:3">
      <c r="A4308" s="269" t="s">
        <v>1691</v>
      </c>
    </row>
    <row r="4309" spans="1:3">
      <c r="A4309" s="269" t="s">
        <v>1598</v>
      </c>
    </row>
    <row r="4310" spans="1:3">
      <c r="A4310" s="269" t="s">
        <v>1686</v>
      </c>
    </row>
    <row r="4311" spans="1:3">
      <c r="A4311" s="269" t="s">
        <v>1600</v>
      </c>
    </row>
    <row r="4312" spans="1:3">
      <c r="A4312" s="264" t="s">
        <v>1601</v>
      </c>
    </row>
    <row r="4314" spans="1:3" ht="30">
      <c r="B4314" s="284" t="s">
        <v>891</v>
      </c>
    </row>
    <row r="4315" spans="1:3">
      <c r="A4315" s="285" t="s">
        <v>54</v>
      </c>
      <c r="B4315" s="275">
        <f t="shared" ref="B4315:B4347" si="695">0.01*F$14*($E4207*E1268+$F4207*F1268+$G4207*G1268)+10*($B4207*B1268+$C4207*C1268+$D4207*D1268+$H4207*H1268)</f>
        <v>20434.493105922222</v>
      </c>
      <c r="C4315" s="265"/>
    </row>
    <row r="4316" spans="1:3">
      <c r="A4316" s="285" t="s">
        <v>55</v>
      </c>
      <c r="B4316" s="275">
        <f t="shared" si="695"/>
        <v>1901.4133184655573</v>
      </c>
      <c r="C4316" s="265"/>
    </row>
    <row r="4317" spans="1:3">
      <c r="A4317" s="285" t="s">
        <v>91</v>
      </c>
      <c r="B4317" s="275">
        <f t="shared" si="695"/>
        <v>-125.56122615170284</v>
      </c>
      <c r="C4317" s="265"/>
    </row>
    <row r="4318" spans="1:3">
      <c r="A4318" s="285" t="s">
        <v>56</v>
      </c>
      <c r="B4318" s="275">
        <f t="shared" si="695"/>
        <v>3892.8613463550669</v>
      </c>
      <c r="C4318" s="265"/>
    </row>
    <row r="4319" spans="1:3">
      <c r="A4319" s="285" t="s">
        <v>57</v>
      </c>
      <c r="B4319" s="275">
        <f t="shared" si="695"/>
        <v>-590.39903202549374</v>
      </c>
      <c r="C4319" s="265"/>
    </row>
    <row r="4320" spans="1:3">
      <c r="A4320" s="285" t="s">
        <v>92</v>
      </c>
      <c r="B4320" s="275">
        <f t="shared" si="695"/>
        <v>-7.5286430145478942</v>
      </c>
      <c r="C4320" s="265"/>
    </row>
    <row r="4321" spans="1:3">
      <c r="A4321" s="285" t="s">
        <v>58</v>
      </c>
      <c r="B4321" s="275">
        <f t="shared" si="695"/>
        <v>-2.1161923226816502E-7</v>
      </c>
      <c r="C4321" s="265"/>
    </row>
    <row r="4322" spans="1:3">
      <c r="A4322" s="285" t="s">
        <v>59</v>
      </c>
      <c r="B4322" s="275">
        <f t="shared" si="695"/>
        <v>-1.3265985954381721E-6</v>
      </c>
      <c r="C4322" s="265"/>
    </row>
    <row r="4323" spans="1:3">
      <c r="A4323" s="285" t="s">
        <v>72</v>
      </c>
      <c r="B4323" s="275">
        <f t="shared" si="695"/>
        <v>-9.5821970110492132E-7</v>
      </c>
      <c r="C4323" s="265"/>
    </row>
    <row r="4324" spans="1:3">
      <c r="A4324" s="285" t="s">
        <v>1178</v>
      </c>
      <c r="B4324" s="275">
        <f t="shared" si="695"/>
        <v>9.706391207968901E-4</v>
      </c>
      <c r="C4324" s="265"/>
    </row>
    <row r="4325" spans="1:3">
      <c r="A4325" s="285" t="s">
        <v>1177</v>
      </c>
      <c r="B4325" s="275">
        <f t="shared" si="695"/>
        <v>-602.74496893679452</v>
      </c>
      <c r="C4325" s="265"/>
    </row>
    <row r="4326" spans="1:3">
      <c r="A4326" s="285" t="s">
        <v>60</v>
      </c>
      <c r="B4326" s="275">
        <f t="shared" si="695"/>
        <v>-11725.453564351743</v>
      </c>
      <c r="C4326" s="265"/>
    </row>
    <row r="4327" spans="1:3">
      <c r="A4327" s="285" t="s">
        <v>61</v>
      </c>
      <c r="B4327" s="275">
        <f t="shared" si="695"/>
        <v>-2145.5036030833653</v>
      </c>
      <c r="C4327" s="265"/>
    </row>
    <row r="4328" spans="1:3">
      <c r="A4328" s="285" t="s">
        <v>73</v>
      </c>
      <c r="B4328" s="275">
        <f t="shared" si="695"/>
        <v>89.382073876367031</v>
      </c>
      <c r="C4328" s="265"/>
    </row>
    <row r="4329" spans="1:3">
      <c r="A4329" s="285" t="s">
        <v>93</v>
      </c>
      <c r="B4329" s="275">
        <f t="shared" si="695"/>
        <v>43.14993156030495</v>
      </c>
      <c r="C4329" s="265"/>
    </row>
    <row r="4330" spans="1:3">
      <c r="A4330" s="285" t="s">
        <v>94</v>
      </c>
      <c r="B4330" s="275">
        <f t="shared" si="695"/>
        <v>7.472879931850037</v>
      </c>
      <c r="C4330" s="265"/>
    </row>
    <row r="4331" spans="1:3">
      <c r="A4331" s="285" t="s">
        <v>95</v>
      </c>
      <c r="B4331" s="275">
        <f t="shared" si="695"/>
        <v>-3.1599155561252297</v>
      </c>
      <c r="C4331" s="265"/>
    </row>
    <row r="4332" spans="1:3">
      <c r="A4332" s="285" t="s">
        <v>96</v>
      </c>
      <c r="B4332" s="275">
        <f t="shared" si="695"/>
        <v>0</v>
      </c>
      <c r="C4332" s="265"/>
    </row>
    <row r="4333" spans="1:3">
      <c r="A4333" s="285" t="s">
        <v>97</v>
      </c>
      <c r="B4333" s="275">
        <f t="shared" si="695"/>
        <v>30.570844744866985</v>
      </c>
      <c r="C4333" s="265"/>
    </row>
    <row r="4334" spans="1:3">
      <c r="A4334" s="285" t="s">
        <v>1176</v>
      </c>
      <c r="B4334" s="275">
        <f t="shared" si="695"/>
        <v>6.823046910251982</v>
      </c>
      <c r="C4334" s="265"/>
    </row>
    <row r="4335" spans="1:3">
      <c r="A4335" s="285" t="s">
        <v>62</v>
      </c>
      <c r="B4335" s="275">
        <f t="shared" si="695"/>
        <v>-0.19603947992000106</v>
      </c>
      <c r="C4335" s="265"/>
    </row>
    <row r="4336" spans="1:3">
      <c r="A4336" s="285" t="s">
        <v>63</v>
      </c>
      <c r="B4336" s="275">
        <f t="shared" si="695"/>
        <v>139.20971435096237</v>
      </c>
      <c r="C4336" s="265"/>
    </row>
    <row r="4337" spans="1:3">
      <c r="A4337" s="285" t="s">
        <v>1516</v>
      </c>
      <c r="B4337" s="275">
        <f t="shared" si="695"/>
        <v>0</v>
      </c>
      <c r="C4337" s="265"/>
    </row>
    <row r="4338" spans="1:3">
      <c r="A4338" s="285" t="s">
        <v>64</v>
      </c>
      <c r="B4338" s="275">
        <f t="shared" si="695"/>
        <v>0.46877895425773974</v>
      </c>
      <c r="C4338" s="265"/>
    </row>
    <row r="4339" spans="1:3">
      <c r="A4339" s="285" t="s">
        <v>1517</v>
      </c>
      <c r="B4339" s="275">
        <f t="shared" si="695"/>
        <v>0</v>
      </c>
      <c r="C4339" s="265"/>
    </row>
    <row r="4340" spans="1:3">
      <c r="A4340" s="285" t="s">
        <v>65</v>
      </c>
      <c r="B4340" s="275">
        <f t="shared" si="695"/>
        <v>-34.480743956960694</v>
      </c>
      <c r="C4340" s="265"/>
    </row>
    <row r="4341" spans="1:3">
      <c r="A4341" s="285" t="s">
        <v>1518</v>
      </c>
      <c r="B4341" s="275">
        <f t="shared" si="695"/>
        <v>0</v>
      </c>
      <c r="C4341" s="265"/>
    </row>
    <row r="4342" spans="1:3">
      <c r="A4342" s="285" t="s">
        <v>66</v>
      </c>
      <c r="B4342" s="275">
        <f t="shared" si="695"/>
        <v>11.716156767691633</v>
      </c>
      <c r="C4342" s="265"/>
    </row>
    <row r="4343" spans="1:3">
      <c r="A4343" s="285" t="s">
        <v>1519</v>
      </c>
      <c r="B4343" s="275">
        <f t="shared" si="695"/>
        <v>0</v>
      </c>
      <c r="C4343" s="265"/>
    </row>
    <row r="4344" spans="1:3">
      <c r="A4344" s="285" t="s">
        <v>74</v>
      </c>
      <c r="B4344" s="275">
        <f t="shared" si="695"/>
        <v>-1787.132023675545</v>
      </c>
      <c r="C4344" s="265"/>
    </row>
    <row r="4345" spans="1:3">
      <c r="A4345" s="285" t="s">
        <v>1520</v>
      </c>
      <c r="B4345" s="275">
        <f t="shared" si="695"/>
        <v>0</v>
      </c>
      <c r="C4345" s="265"/>
    </row>
    <row r="4346" spans="1:3">
      <c r="A4346" s="285" t="s">
        <v>75</v>
      </c>
      <c r="B4346" s="275">
        <f t="shared" si="695"/>
        <v>64.449534701818394</v>
      </c>
      <c r="C4346" s="265"/>
    </row>
    <row r="4347" spans="1:3">
      <c r="A4347" s="285" t="s">
        <v>1521</v>
      </c>
      <c r="B4347" s="275">
        <f t="shared" si="695"/>
        <v>0</v>
      </c>
      <c r="C4347" s="265"/>
    </row>
    <row r="4349" spans="1:3" ht="21" customHeight="1">
      <c r="A4349" s="1" t="s">
        <v>892</v>
      </c>
    </row>
    <row r="4350" spans="1:3">
      <c r="A4350" s="264" t="s">
        <v>217</v>
      </c>
    </row>
    <row r="4351" spans="1:3">
      <c r="A4351" s="269" t="s">
        <v>1749</v>
      </c>
    </row>
    <row r="4352" spans="1:3">
      <c r="A4352" s="269" t="s">
        <v>1692</v>
      </c>
    </row>
    <row r="4353" spans="1:7">
      <c r="A4353" s="269" t="s">
        <v>893</v>
      </c>
    </row>
    <row r="4354" spans="1:7">
      <c r="A4354" s="269" t="s">
        <v>894</v>
      </c>
    </row>
    <row r="4355" spans="1:7">
      <c r="A4355" s="269" t="s">
        <v>1693</v>
      </c>
    </row>
    <row r="4356" spans="1:7">
      <c r="A4356" s="269" t="s">
        <v>895</v>
      </c>
    </row>
    <row r="4357" spans="1:7">
      <c r="A4357" s="269" t="s">
        <v>896</v>
      </c>
    </row>
    <row r="4358" spans="1:7">
      <c r="A4358" s="269" t="s">
        <v>1750</v>
      </c>
    </row>
    <row r="4359" spans="1:7">
      <c r="A4359" s="270" t="s">
        <v>220</v>
      </c>
      <c r="B4359" s="270" t="s">
        <v>276</v>
      </c>
      <c r="C4359" s="270" t="s">
        <v>343</v>
      </c>
      <c r="D4359" s="270" t="s">
        <v>343</v>
      </c>
      <c r="E4359" s="270" t="s">
        <v>342</v>
      </c>
      <c r="F4359" s="270" t="s">
        <v>342</v>
      </c>
    </row>
    <row r="4360" spans="1:7">
      <c r="A4360" s="270" t="s">
        <v>223</v>
      </c>
      <c r="B4360" s="270" t="s">
        <v>278</v>
      </c>
      <c r="C4360" s="270" t="s">
        <v>392</v>
      </c>
      <c r="D4360" s="270" t="s">
        <v>393</v>
      </c>
      <c r="E4360" s="270" t="s">
        <v>897</v>
      </c>
      <c r="F4360" s="270" t="s">
        <v>898</v>
      </c>
    </row>
    <row r="4362" spans="1:7" ht="30">
      <c r="B4362" s="284" t="s">
        <v>731</v>
      </c>
      <c r="C4362" s="284" t="s">
        <v>1694</v>
      </c>
      <c r="D4362" s="284" t="s">
        <v>899</v>
      </c>
      <c r="E4362" s="284" t="s">
        <v>900</v>
      </c>
      <c r="F4362" s="284" t="s">
        <v>901</v>
      </c>
    </row>
    <row r="4363" spans="1:7">
      <c r="A4363" s="285" t="s">
        <v>902</v>
      </c>
      <c r="B4363" s="275">
        <f>B3830</f>
        <v>198719406.63389996</v>
      </c>
      <c r="C4363" s="275">
        <f>SUM(E$4096:E$4128)</f>
        <v>177415891.37337852</v>
      </c>
      <c r="D4363" s="275">
        <f>SUM(B$4315:B$4347)</f>
        <v>9599.8519404517119</v>
      </c>
      <c r="E4363" s="275">
        <f>B4363+C4363+D4363</f>
        <v>376144897.8592189</v>
      </c>
      <c r="F4363" s="275">
        <f>E4363-B343</f>
        <v>9599.8519402742386</v>
      </c>
      <c r="G4363" s="265"/>
    </row>
    <row r="4365" spans="1:7" ht="21" customHeight="1">
      <c r="A4365" s="1" t="s">
        <v>903</v>
      </c>
    </row>
    <row r="4366" spans="1:7">
      <c r="A4366" s="264" t="s">
        <v>217</v>
      </c>
    </row>
    <row r="4367" spans="1:7">
      <c r="A4367" s="269" t="s">
        <v>904</v>
      </c>
    </row>
    <row r="4368" spans="1:7">
      <c r="A4368" s="269" t="s">
        <v>905</v>
      </c>
    </row>
    <row r="4369" spans="1:9">
      <c r="A4369" s="269" t="s">
        <v>906</v>
      </c>
    </row>
    <row r="4370" spans="1:9">
      <c r="A4370" s="269" t="s">
        <v>907</v>
      </c>
    </row>
    <row r="4371" spans="1:9">
      <c r="A4371" s="269" t="s">
        <v>908</v>
      </c>
    </row>
    <row r="4372" spans="1:9">
      <c r="A4372" s="269" t="s">
        <v>909</v>
      </c>
    </row>
    <row r="4373" spans="1:9">
      <c r="A4373" s="269" t="s">
        <v>910</v>
      </c>
    </row>
    <row r="4374" spans="1:9">
      <c r="A4374" s="269" t="s">
        <v>1695</v>
      </c>
    </row>
    <row r="4375" spans="1:9">
      <c r="A4375" s="269" t="s">
        <v>1696</v>
      </c>
    </row>
    <row r="4376" spans="1:9">
      <c r="A4376" s="270" t="s">
        <v>220</v>
      </c>
      <c r="B4376" s="270" t="s">
        <v>342</v>
      </c>
      <c r="C4376" s="270" t="s">
        <v>342</v>
      </c>
      <c r="D4376" s="270" t="s">
        <v>342</v>
      </c>
      <c r="E4376" s="270" t="s">
        <v>342</v>
      </c>
      <c r="F4376" s="270" t="s">
        <v>342</v>
      </c>
      <c r="G4376" s="270" t="s">
        <v>342</v>
      </c>
      <c r="H4376" s="270" t="s">
        <v>342</v>
      </c>
    </row>
    <row r="4377" spans="1:9">
      <c r="A4377" s="270" t="s">
        <v>223</v>
      </c>
      <c r="B4377" s="270" t="s">
        <v>911</v>
      </c>
      <c r="C4377" s="270" t="s">
        <v>912</v>
      </c>
      <c r="D4377" s="270" t="s">
        <v>913</v>
      </c>
      <c r="E4377" s="270" t="s">
        <v>914</v>
      </c>
      <c r="F4377" s="270" t="s">
        <v>915</v>
      </c>
      <c r="G4377" s="270" t="s">
        <v>1697</v>
      </c>
      <c r="H4377" s="270" t="s">
        <v>1698</v>
      </c>
    </row>
    <row r="4379" spans="1:9" ht="30">
      <c r="B4379" s="284" t="s">
        <v>858</v>
      </c>
      <c r="C4379" s="284" t="s">
        <v>859</v>
      </c>
      <c r="D4379" s="284" t="s">
        <v>860</v>
      </c>
      <c r="E4379" s="284" t="s">
        <v>861</v>
      </c>
      <c r="F4379" s="284" t="s">
        <v>862</v>
      </c>
      <c r="G4379" s="284" t="s">
        <v>1515</v>
      </c>
      <c r="H4379" s="284" t="s">
        <v>720</v>
      </c>
    </row>
    <row r="4380" spans="1:9">
      <c r="A4380" s="288" t="s">
        <v>108</v>
      </c>
      <c r="I4380" s="265"/>
    </row>
    <row r="4381" spans="1:9">
      <c r="A4381" s="285" t="s">
        <v>54</v>
      </c>
      <c r="B4381" s="273">
        <f t="shared" ref="B4381:D4383" si="696">ROUND(B$4261*(1-$B1146),3)</f>
        <v>3.0219999999999998</v>
      </c>
      <c r="C4381" s="273">
        <f t="shared" si="696"/>
        <v>0</v>
      </c>
      <c r="D4381" s="273">
        <f t="shared" si="696"/>
        <v>0</v>
      </c>
      <c r="E4381" s="278">
        <f>ROUND(E$4261*(1-$C1146),2)</f>
        <v>5.82</v>
      </c>
      <c r="F4381" s="278">
        <f t="shared" ref="F4381:G4383" si="697">ROUND(F$4261*(1-$B1146),2)</f>
        <v>0</v>
      </c>
      <c r="G4381" s="278">
        <f t="shared" si="697"/>
        <v>0</v>
      </c>
      <c r="H4381" s="273">
        <f>ROUND(H$4261*(1-$B1146),3)</f>
        <v>0</v>
      </c>
      <c r="I4381" s="265"/>
    </row>
    <row r="4382" spans="1:9">
      <c r="A4382" s="285" t="s">
        <v>109</v>
      </c>
      <c r="B4382" s="273">
        <f t="shared" si="696"/>
        <v>1.8959999999999999</v>
      </c>
      <c r="C4382" s="273">
        <f t="shared" si="696"/>
        <v>0</v>
      </c>
      <c r="D4382" s="273">
        <f t="shared" si="696"/>
        <v>0</v>
      </c>
      <c r="E4382" s="278">
        <f>ROUND(E$4261*(1-$C1147),2)</f>
        <v>3.65</v>
      </c>
      <c r="F4382" s="278">
        <f t="shared" si="697"/>
        <v>0</v>
      </c>
      <c r="G4382" s="278">
        <f t="shared" si="697"/>
        <v>0</v>
      </c>
      <c r="H4382" s="273">
        <f>ROUND(H$4261*(1-$B1147),3)</f>
        <v>0</v>
      </c>
      <c r="I4382" s="265"/>
    </row>
    <row r="4383" spans="1:9">
      <c r="A4383" s="285" t="s">
        <v>110</v>
      </c>
      <c r="B4383" s="273">
        <f t="shared" si="696"/>
        <v>1.1519999999999999</v>
      </c>
      <c r="C4383" s="273">
        <f t="shared" si="696"/>
        <v>0</v>
      </c>
      <c r="D4383" s="273">
        <f t="shared" si="696"/>
        <v>0</v>
      </c>
      <c r="E4383" s="278">
        <f>ROUND(E$4261*(1-$C1148),2)</f>
        <v>2.2200000000000002</v>
      </c>
      <c r="F4383" s="278">
        <f t="shared" si="697"/>
        <v>0</v>
      </c>
      <c r="G4383" s="278">
        <f t="shared" si="697"/>
        <v>0</v>
      </c>
      <c r="H4383" s="273">
        <f>ROUND(H$4261*(1-$B1148),3)</f>
        <v>0</v>
      </c>
      <c r="I4383" s="265"/>
    </row>
    <row r="4384" spans="1:9">
      <c r="A4384" s="288" t="s">
        <v>111</v>
      </c>
      <c r="I4384" s="265"/>
    </row>
    <row r="4385" spans="1:9">
      <c r="A4385" s="285" t="s">
        <v>55</v>
      </c>
      <c r="B4385" s="273">
        <f t="shared" ref="B4385:D4387" si="698">ROUND(B$4262*(1-$B1150),3)</f>
        <v>3.4060000000000001</v>
      </c>
      <c r="C4385" s="273">
        <f t="shared" si="698"/>
        <v>1.5940000000000001</v>
      </c>
      <c r="D4385" s="273">
        <f t="shared" si="698"/>
        <v>0</v>
      </c>
      <c r="E4385" s="278">
        <f>ROUND(E$4262*(1-$C1150),2)</f>
        <v>5.82</v>
      </c>
      <c r="F4385" s="278">
        <f t="shared" ref="F4385:G4387" si="699">ROUND(F$4262*(1-$B1150),2)</f>
        <v>0</v>
      </c>
      <c r="G4385" s="278">
        <f t="shared" si="699"/>
        <v>0</v>
      </c>
      <c r="H4385" s="273">
        <f>ROUND(H$4262*(1-$B1150),3)</f>
        <v>0</v>
      </c>
      <c r="I4385" s="265"/>
    </row>
    <row r="4386" spans="1:9">
      <c r="A4386" s="285" t="s">
        <v>112</v>
      </c>
      <c r="B4386" s="273">
        <f t="shared" si="698"/>
        <v>2.137</v>
      </c>
      <c r="C4386" s="273">
        <f t="shared" si="698"/>
        <v>1</v>
      </c>
      <c r="D4386" s="273">
        <f t="shared" si="698"/>
        <v>0</v>
      </c>
      <c r="E4386" s="278">
        <f>ROUND(E$4262*(1-$C1151),2)</f>
        <v>3.65</v>
      </c>
      <c r="F4386" s="278">
        <f t="shared" si="699"/>
        <v>0</v>
      </c>
      <c r="G4386" s="278">
        <f t="shared" si="699"/>
        <v>0</v>
      </c>
      <c r="H4386" s="273">
        <f>ROUND(H$4262*(1-$B1151),3)</f>
        <v>0</v>
      </c>
      <c r="I4386" s="265"/>
    </row>
    <row r="4387" spans="1:9">
      <c r="A4387" s="285" t="s">
        <v>113</v>
      </c>
      <c r="B4387" s="273">
        <f t="shared" si="698"/>
        <v>1.298</v>
      </c>
      <c r="C4387" s="273">
        <f t="shared" si="698"/>
        <v>0.60799999999999998</v>
      </c>
      <c r="D4387" s="273">
        <f t="shared" si="698"/>
        <v>0</v>
      </c>
      <c r="E4387" s="278">
        <f>ROUND(E$4262*(1-$C1152),2)</f>
        <v>2.2200000000000002</v>
      </c>
      <c r="F4387" s="278">
        <f t="shared" si="699"/>
        <v>0</v>
      </c>
      <c r="G4387" s="278">
        <f t="shared" si="699"/>
        <v>0</v>
      </c>
      <c r="H4387" s="273">
        <f>ROUND(H$4262*(1-$B1152),3)</f>
        <v>0</v>
      </c>
      <c r="I4387" s="265"/>
    </row>
    <row r="4388" spans="1:9">
      <c r="A4388" s="288" t="s">
        <v>114</v>
      </c>
      <c r="I4388" s="265"/>
    </row>
    <row r="4389" spans="1:9">
      <c r="A4389" s="285" t="s">
        <v>91</v>
      </c>
      <c r="B4389" s="273">
        <f t="shared" ref="B4389:D4391" si="700">ROUND(B$4263*(1-$B1154),3)</f>
        <v>1.573</v>
      </c>
      <c r="C4389" s="273">
        <f t="shared" si="700"/>
        <v>0</v>
      </c>
      <c r="D4389" s="273">
        <f t="shared" si="700"/>
        <v>0</v>
      </c>
      <c r="E4389" s="278">
        <f>ROUND(E$4263*(1-$C1154),2)</f>
        <v>0</v>
      </c>
      <c r="F4389" s="278">
        <f t="shared" ref="F4389:G4391" si="701">ROUND(F$4263*(1-$B1154),2)</f>
        <v>0</v>
      </c>
      <c r="G4389" s="278">
        <f t="shared" si="701"/>
        <v>0</v>
      </c>
      <c r="H4389" s="273">
        <f>ROUND(H$4263*(1-$B1154),3)</f>
        <v>0</v>
      </c>
      <c r="I4389" s="265"/>
    </row>
    <row r="4390" spans="1:9">
      <c r="A4390" s="285" t="s">
        <v>115</v>
      </c>
      <c r="B4390" s="273">
        <f t="shared" si="700"/>
        <v>0.98699999999999999</v>
      </c>
      <c r="C4390" s="273">
        <f t="shared" si="700"/>
        <v>0</v>
      </c>
      <c r="D4390" s="273">
        <f t="shared" si="700"/>
        <v>0</v>
      </c>
      <c r="E4390" s="278">
        <f>ROUND(E$4263*(1-$C1155),2)</f>
        <v>0</v>
      </c>
      <c r="F4390" s="278">
        <f t="shared" si="701"/>
        <v>0</v>
      </c>
      <c r="G4390" s="278">
        <f t="shared" si="701"/>
        <v>0</v>
      </c>
      <c r="H4390" s="273">
        <f>ROUND(H$4263*(1-$B1155),3)</f>
        <v>0</v>
      </c>
      <c r="I4390" s="265"/>
    </row>
    <row r="4391" spans="1:9">
      <c r="A4391" s="285" t="s">
        <v>116</v>
      </c>
      <c r="B4391" s="273">
        <f t="shared" si="700"/>
        <v>0.6</v>
      </c>
      <c r="C4391" s="273">
        <f t="shared" si="700"/>
        <v>0</v>
      </c>
      <c r="D4391" s="273">
        <f t="shared" si="700"/>
        <v>0</v>
      </c>
      <c r="E4391" s="278">
        <f>ROUND(E$4263*(1-$C1156),2)</f>
        <v>0</v>
      </c>
      <c r="F4391" s="278">
        <f t="shared" si="701"/>
        <v>0</v>
      </c>
      <c r="G4391" s="278">
        <f t="shared" si="701"/>
        <v>0</v>
      </c>
      <c r="H4391" s="273">
        <f>ROUND(H$4263*(1-$B1156),3)</f>
        <v>0</v>
      </c>
      <c r="I4391" s="265"/>
    </row>
    <row r="4392" spans="1:9">
      <c r="A4392" s="288" t="s">
        <v>117</v>
      </c>
      <c r="I4392" s="265"/>
    </row>
    <row r="4393" spans="1:9">
      <c r="A4393" s="285" t="s">
        <v>56</v>
      </c>
      <c r="B4393" s="273">
        <f t="shared" ref="B4393:D4395" si="702">ROUND(B$4264*(1-$B1158),3)</f>
        <v>2.7530000000000001</v>
      </c>
      <c r="C4393" s="273">
        <f t="shared" si="702"/>
        <v>0</v>
      </c>
      <c r="D4393" s="273">
        <f t="shared" si="702"/>
        <v>0</v>
      </c>
      <c r="E4393" s="278">
        <f>ROUND(E$4264*(1-$C1158),2)</f>
        <v>9.41</v>
      </c>
      <c r="F4393" s="278">
        <f t="shared" ref="F4393:G4395" si="703">ROUND(F$4264*(1-$B1158),2)</f>
        <v>0</v>
      </c>
      <c r="G4393" s="278">
        <f t="shared" si="703"/>
        <v>0</v>
      </c>
      <c r="H4393" s="273">
        <f>ROUND(H$4264*(1-$B1158),3)</f>
        <v>0</v>
      </c>
      <c r="I4393" s="265"/>
    </row>
    <row r="4394" spans="1:9">
      <c r="A4394" s="285" t="s">
        <v>118</v>
      </c>
      <c r="B4394" s="273">
        <f t="shared" si="702"/>
        <v>1.7270000000000001</v>
      </c>
      <c r="C4394" s="273">
        <f t="shared" si="702"/>
        <v>0</v>
      </c>
      <c r="D4394" s="273">
        <f t="shared" si="702"/>
        <v>0</v>
      </c>
      <c r="E4394" s="278">
        <f>ROUND(E$4264*(1-$C1159),2)</f>
        <v>5.9</v>
      </c>
      <c r="F4394" s="278">
        <f t="shared" si="703"/>
        <v>0</v>
      </c>
      <c r="G4394" s="278">
        <f t="shared" si="703"/>
        <v>0</v>
      </c>
      <c r="H4394" s="273">
        <f>ROUND(H$4264*(1-$B1159),3)</f>
        <v>0</v>
      </c>
      <c r="I4394" s="265"/>
    </row>
    <row r="4395" spans="1:9">
      <c r="A4395" s="285" t="s">
        <v>119</v>
      </c>
      <c r="B4395" s="273">
        <f t="shared" si="702"/>
        <v>1.0489999999999999</v>
      </c>
      <c r="C4395" s="273">
        <f t="shared" si="702"/>
        <v>0</v>
      </c>
      <c r="D4395" s="273">
        <f t="shared" si="702"/>
        <v>0</v>
      </c>
      <c r="E4395" s="278">
        <f>ROUND(E$4264*(1-$C1160),2)</f>
        <v>3.59</v>
      </c>
      <c r="F4395" s="278">
        <f t="shared" si="703"/>
        <v>0</v>
      </c>
      <c r="G4395" s="278">
        <f t="shared" si="703"/>
        <v>0</v>
      </c>
      <c r="H4395" s="273">
        <f>ROUND(H$4264*(1-$B1160),3)</f>
        <v>0</v>
      </c>
      <c r="I4395" s="265"/>
    </row>
    <row r="4396" spans="1:9">
      <c r="A4396" s="288" t="s">
        <v>120</v>
      </c>
      <c r="I4396" s="265"/>
    </row>
    <row r="4397" spans="1:9">
      <c r="A4397" s="285" t="s">
        <v>57</v>
      </c>
      <c r="B4397" s="273">
        <f t="shared" ref="B4397:D4399" si="704">ROUND(B$4265*(1-$B1162),3)</f>
        <v>2.98</v>
      </c>
      <c r="C4397" s="273">
        <f t="shared" si="704"/>
        <v>1.5880000000000001</v>
      </c>
      <c r="D4397" s="273">
        <f t="shared" si="704"/>
        <v>0</v>
      </c>
      <c r="E4397" s="278">
        <f>ROUND(E$4265*(1-$C1162),2)</f>
        <v>9.41</v>
      </c>
      <c r="F4397" s="278">
        <f t="shared" ref="F4397:G4399" si="705">ROUND(F$4265*(1-$B1162),2)</f>
        <v>0</v>
      </c>
      <c r="G4397" s="278">
        <f t="shared" si="705"/>
        <v>0</v>
      </c>
      <c r="H4397" s="273">
        <f>ROUND(H$4265*(1-$B1162),3)</f>
        <v>0</v>
      </c>
      <c r="I4397" s="265"/>
    </row>
    <row r="4398" spans="1:9">
      <c r="A4398" s="285" t="s">
        <v>121</v>
      </c>
      <c r="B4398" s="273">
        <f t="shared" si="704"/>
        <v>1.869</v>
      </c>
      <c r="C4398" s="273">
        <f t="shared" si="704"/>
        <v>0.996</v>
      </c>
      <c r="D4398" s="273">
        <f t="shared" si="704"/>
        <v>0</v>
      </c>
      <c r="E4398" s="278">
        <f>ROUND(E$4265*(1-$C1163),2)</f>
        <v>5.9</v>
      </c>
      <c r="F4398" s="278">
        <f t="shared" si="705"/>
        <v>0</v>
      </c>
      <c r="G4398" s="278">
        <f t="shared" si="705"/>
        <v>0</v>
      </c>
      <c r="H4398" s="273">
        <f>ROUND(H$4265*(1-$B1163),3)</f>
        <v>0</v>
      </c>
      <c r="I4398" s="265"/>
    </row>
    <row r="4399" spans="1:9">
      <c r="A4399" s="285" t="s">
        <v>122</v>
      </c>
      <c r="B4399" s="273">
        <f t="shared" si="704"/>
        <v>1.1359999999999999</v>
      </c>
      <c r="C4399" s="273">
        <f t="shared" si="704"/>
        <v>0.60499999999999998</v>
      </c>
      <c r="D4399" s="273">
        <f t="shared" si="704"/>
        <v>0</v>
      </c>
      <c r="E4399" s="278">
        <f>ROUND(E$4265*(1-$C1164),2)</f>
        <v>3.59</v>
      </c>
      <c r="F4399" s="278">
        <f t="shared" si="705"/>
        <v>0</v>
      </c>
      <c r="G4399" s="278">
        <f t="shared" si="705"/>
        <v>0</v>
      </c>
      <c r="H4399" s="273">
        <f>ROUND(H$4265*(1-$B1164),3)</f>
        <v>0</v>
      </c>
      <c r="I4399" s="265"/>
    </row>
    <row r="4400" spans="1:9">
      <c r="A4400" s="288" t="s">
        <v>123</v>
      </c>
      <c r="I4400" s="265"/>
    </row>
    <row r="4401" spans="1:9">
      <c r="A4401" s="285" t="s">
        <v>92</v>
      </c>
      <c r="B4401" s="273">
        <f t="shared" ref="B4401:D4403" si="706">ROUND(B$4266*(1-$B1166),3)</f>
        <v>1.5820000000000001</v>
      </c>
      <c r="C4401" s="273">
        <f t="shared" si="706"/>
        <v>0</v>
      </c>
      <c r="D4401" s="273">
        <f t="shared" si="706"/>
        <v>0</v>
      </c>
      <c r="E4401" s="278">
        <f>ROUND(E$4266*(1-$C1166),2)</f>
        <v>0</v>
      </c>
      <c r="F4401" s="278">
        <f t="shared" ref="F4401:G4403" si="707">ROUND(F$4266*(1-$B1166),2)</f>
        <v>0</v>
      </c>
      <c r="G4401" s="278">
        <f t="shared" si="707"/>
        <v>0</v>
      </c>
      <c r="H4401" s="273">
        <f>ROUND(H$4266*(1-$B1166),3)</f>
        <v>0</v>
      </c>
      <c r="I4401" s="265"/>
    </row>
    <row r="4402" spans="1:9" ht="30">
      <c r="A4402" s="285" t="s">
        <v>124</v>
      </c>
      <c r="B4402" s="273">
        <f t="shared" si="706"/>
        <v>0.99199999999999999</v>
      </c>
      <c r="C4402" s="273">
        <f t="shared" si="706"/>
        <v>0</v>
      </c>
      <c r="D4402" s="273">
        <f t="shared" si="706"/>
        <v>0</v>
      </c>
      <c r="E4402" s="278">
        <f>ROUND(E$4266*(1-$C1167),2)</f>
        <v>0</v>
      </c>
      <c r="F4402" s="278">
        <f t="shared" si="707"/>
        <v>0</v>
      </c>
      <c r="G4402" s="278">
        <f t="shared" si="707"/>
        <v>0</v>
      </c>
      <c r="H4402" s="273">
        <f>ROUND(H$4266*(1-$B1167),3)</f>
        <v>0</v>
      </c>
      <c r="I4402" s="265"/>
    </row>
    <row r="4403" spans="1:9" ht="30">
      <c r="A4403" s="285" t="s">
        <v>125</v>
      </c>
      <c r="B4403" s="273">
        <f t="shared" si="706"/>
        <v>0.60299999999999998</v>
      </c>
      <c r="C4403" s="273">
        <f t="shared" si="706"/>
        <v>0</v>
      </c>
      <c r="D4403" s="273">
        <f t="shared" si="706"/>
        <v>0</v>
      </c>
      <c r="E4403" s="278">
        <f>ROUND(E$4266*(1-$C1168),2)</f>
        <v>0</v>
      </c>
      <c r="F4403" s="278">
        <f t="shared" si="707"/>
        <v>0</v>
      </c>
      <c r="G4403" s="278">
        <f t="shared" si="707"/>
        <v>0</v>
      </c>
      <c r="H4403" s="273">
        <f>ROUND(H$4266*(1-$B1168),3)</f>
        <v>0</v>
      </c>
      <c r="I4403" s="265"/>
    </row>
    <row r="4404" spans="1:9">
      <c r="A4404" s="288" t="s">
        <v>126</v>
      </c>
      <c r="I4404" s="265"/>
    </row>
    <row r="4405" spans="1:9">
      <c r="A4405" s="285" t="s">
        <v>58</v>
      </c>
      <c r="B4405" s="273">
        <f t="shared" ref="B4405:D4407" si="708">ROUND(B$4267*(1-$B1170),3)</f>
        <v>2.82</v>
      </c>
      <c r="C4405" s="273">
        <f t="shared" si="708"/>
        <v>1.5589999999999999</v>
      </c>
      <c r="D4405" s="273">
        <f t="shared" si="708"/>
        <v>0</v>
      </c>
      <c r="E4405" s="278">
        <f>ROUND(E$4267*(1-$C1170),2)</f>
        <v>41.8</v>
      </c>
      <c r="F4405" s="278">
        <f t="shared" ref="F4405:G4407" si="709">ROUND(F$4267*(1-$B1170),2)</f>
        <v>0</v>
      </c>
      <c r="G4405" s="278">
        <f t="shared" si="709"/>
        <v>0</v>
      </c>
      <c r="H4405" s="273">
        <f>ROUND(H$4267*(1-$B1170),3)</f>
        <v>0</v>
      </c>
      <c r="I4405" s="265"/>
    </row>
    <row r="4406" spans="1:9">
      <c r="A4406" s="285" t="s">
        <v>127</v>
      </c>
      <c r="B4406" s="273">
        <f t="shared" si="708"/>
        <v>1.7689999999999999</v>
      </c>
      <c r="C4406" s="273">
        <f t="shared" si="708"/>
        <v>0.97799999999999998</v>
      </c>
      <c r="D4406" s="273">
        <f t="shared" si="708"/>
        <v>0</v>
      </c>
      <c r="E4406" s="278">
        <f>ROUND(E$4267*(1-$C1171),2)</f>
        <v>26.22</v>
      </c>
      <c r="F4406" s="278">
        <f t="shared" si="709"/>
        <v>0</v>
      </c>
      <c r="G4406" s="278">
        <f t="shared" si="709"/>
        <v>0</v>
      </c>
      <c r="H4406" s="273">
        <f>ROUND(H$4267*(1-$B1171),3)</f>
        <v>0</v>
      </c>
      <c r="I4406" s="265"/>
    </row>
    <row r="4407" spans="1:9">
      <c r="A4407" s="285" t="s">
        <v>128</v>
      </c>
      <c r="B4407" s="273">
        <f t="shared" si="708"/>
        <v>1.075</v>
      </c>
      <c r="C4407" s="273">
        <f t="shared" si="708"/>
        <v>0.59399999999999997</v>
      </c>
      <c r="D4407" s="273">
        <f t="shared" si="708"/>
        <v>0</v>
      </c>
      <c r="E4407" s="278">
        <f>ROUND(E$4267*(1-$C1172),2)</f>
        <v>15.93</v>
      </c>
      <c r="F4407" s="278">
        <f t="shared" si="709"/>
        <v>0</v>
      </c>
      <c r="G4407" s="278">
        <f t="shared" si="709"/>
        <v>0</v>
      </c>
      <c r="H4407" s="273">
        <f>ROUND(H$4267*(1-$B1172),3)</f>
        <v>0</v>
      </c>
      <c r="I4407" s="265"/>
    </row>
    <row r="4408" spans="1:9">
      <c r="A4408" s="288" t="s">
        <v>129</v>
      </c>
      <c r="I4408" s="265"/>
    </row>
    <row r="4409" spans="1:9">
      <c r="A4409" s="285" t="s">
        <v>59</v>
      </c>
      <c r="B4409" s="273">
        <f>ROUND(B$4268*(1-$B1174),3)</f>
        <v>2.6760000000000002</v>
      </c>
      <c r="C4409" s="273">
        <f>ROUND(C$4268*(1-$B1174),3)</f>
        <v>1.5449999999999999</v>
      </c>
      <c r="D4409" s="273">
        <f>ROUND(D$4268*(1-$B1174),3)</f>
        <v>0</v>
      </c>
      <c r="E4409" s="278">
        <f>ROUND(E$4268*(1-$C1174),2)</f>
        <v>28.97</v>
      </c>
      <c r="F4409" s="278">
        <f>ROUND(F$4268*(1-$B1174),2)</f>
        <v>0</v>
      </c>
      <c r="G4409" s="278">
        <f>ROUND(G$4268*(1-$B1174),2)</f>
        <v>0</v>
      </c>
      <c r="H4409" s="273">
        <f>ROUND(H$4268*(1-$B1174),3)</f>
        <v>0</v>
      </c>
      <c r="I4409" s="265"/>
    </row>
    <row r="4410" spans="1:9">
      <c r="A4410" s="288" t="s">
        <v>130</v>
      </c>
      <c r="I4410" s="265"/>
    </row>
    <row r="4411" spans="1:9">
      <c r="A4411" s="285" t="s">
        <v>72</v>
      </c>
      <c r="B4411" s="273">
        <f>ROUND(B$4269*(1-$B1176),3)</f>
        <v>2.1619999999999999</v>
      </c>
      <c r="C4411" s="273">
        <f>ROUND(C$4269*(1-$B1176),3)</f>
        <v>1.484</v>
      </c>
      <c r="D4411" s="273">
        <f>ROUND(D$4269*(1-$B1176),3)</f>
        <v>0</v>
      </c>
      <c r="E4411" s="278">
        <f>ROUND(E$4269*(1-$C1176),2)</f>
        <v>194.36</v>
      </c>
      <c r="F4411" s="278">
        <f>ROUND(F$4269*(1-$B1176),2)</f>
        <v>0</v>
      </c>
      <c r="G4411" s="278">
        <f>ROUND(G$4269*(1-$B1176),2)</f>
        <v>0</v>
      </c>
      <c r="H4411" s="273">
        <f>ROUND(H$4269*(1-$B1176),3)</f>
        <v>0</v>
      </c>
      <c r="I4411" s="265"/>
    </row>
    <row r="4412" spans="1:9">
      <c r="A4412" s="288" t="s">
        <v>1181</v>
      </c>
      <c r="I4412" s="265"/>
    </row>
    <row r="4413" spans="1:9">
      <c r="A4413" s="285" t="s">
        <v>1178</v>
      </c>
      <c r="B4413" s="273">
        <f t="shared" ref="B4413:D4415" si="710">ROUND(B$4270*(1-$B1178),3)</f>
        <v>15.699</v>
      </c>
      <c r="C4413" s="273">
        <f t="shared" si="710"/>
        <v>2.0129999999999999</v>
      </c>
      <c r="D4413" s="273">
        <f t="shared" si="710"/>
        <v>1.579</v>
      </c>
      <c r="E4413" s="278">
        <f>ROUND(E$4270*(1-$C1178),2)</f>
        <v>5.82</v>
      </c>
      <c r="F4413" s="278">
        <f t="shared" ref="F4413:G4415" si="711">ROUND(F$4270*(1-$B1178),2)</f>
        <v>0</v>
      </c>
      <c r="G4413" s="278">
        <f t="shared" si="711"/>
        <v>0</v>
      </c>
      <c r="H4413" s="273">
        <f>ROUND(H$4270*(1-$B1178),3)</f>
        <v>0</v>
      </c>
      <c r="I4413" s="265"/>
    </row>
    <row r="4414" spans="1:9">
      <c r="A4414" s="285" t="s">
        <v>1175</v>
      </c>
      <c r="B4414" s="273">
        <f t="shared" si="710"/>
        <v>9.8480000000000008</v>
      </c>
      <c r="C4414" s="273">
        <f t="shared" si="710"/>
        <v>1.2629999999999999</v>
      </c>
      <c r="D4414" s="273">
        <f t="shared" si="710"/>
        <v>0.99099999999999999</v>
      </c>
      <c r="E4414" s="278">
        <f>ROUND(E$4270*(1-$C1179),2)</f>
        <v>3.65</v>
      </c>
      <c r="F4414" s="278">
        <f t="shared" si="711"/>
        <v>0</v>
      </c>
      <c r="G4414" s="278">
        <f t="shared" si="711"/>
        <v>0</v>
      </c>
      <c r="H4414" s="273">
        <f>ROUND(H$4270*(1-$B1179),3)</f>
        <v>0</v>
      </c>
      <c r="I4414" s="265"/>
    </row>
    <row r="4415" spans="1:9">
      <c r="A4415" s="285" t="s">
        <v>1172</v>
      </c>
      <c r="B4415" s="273">
        <f t="shared" si="710"/>
        <v>5.984</v>
      </c>
      <c r="C4415" s="273">
        <f t="shared" si="710"/>
        <v>0.76700000000000002</v>
      </c>
      <c r="D4415" s="273">
        <f t="shared" si="710"/>
        <v>0.60199999999999998</v>
      </c>
      <c r="E4415" s="278">
        <f>ROUND(E$4270*(1-$C1180),2)</f>
        <v>2.2200000000000002</v>
      </c>
      <c r="F4415" s="278">
        <f t="shared" si="711"/>
        <v>0</v>
      </c>
      <c r="G4415" s="278">
        <f t="shared" si="711"/>
        <v>0</v>
      </c>
      <c r="H4415" s="273">
        <f>ROUND(H$4270*(1-$B1180),3)</f>
        <v>0</v>
      </c>
      <c r="I4415" s="265"/>
    </row>
    <row r="4416" spans="1:9">
      <c r="A4416" s="288" t="s">
        <v>1180</v>
      </c>
      <c r="I4416" s="265"/>
    </row>
    <row r="4417" spans="1:9">
      <c r="A4417" s="285" t="s">
        <v>1177</v>
      </c>
      <c r="B4417" s="273">
        <f t="shared" ref="B4417:D4419" si="712">ROUND(B$4271*(1-$B1182),3)</f>
        <v>15.981999999999999</v>
      </c>
      <c r="C4417" s="273">
        <f t="shared" si="712"/>
        <v>2.024</v>
      </c>
      <c r="D4417" s="273">
        <f t="shared" si="712"/>
        <v>1.5820000000000001</v>
      </c>
      <c r="E4417" s="278">
        <f>ROUND(E$4271*(1-$C1182),2)</f>
        <v>9.41</v>
      </c>
      <c r="F4417" s="278">
        <f t="shared" ref="F4417:G4419" si="713">ROUND(F$4271*(1-$B1182),2)</f>
        <v>0</v>
      </c>
      <c r="G4417" s="278">
        <f t="shared" si="713"/>
        <v>0</v>
      </c>
      <c r="H4417" s="273">
        <f>ROUND(H$4271*(1-$B1182),3)</f>
        <v>0</v>
      </c>
      <c r="I4417" s="265"/>
    </row>
    <row r="4418" spans="1:9">
      <c r="A4418" s="285" t="s">
        <v>1174</v>
      </c>
      <c r="B4418" s="273">
        <f t="shared" si="712"/>
        <v>10.026</v>
      </c>
      <c r="C4418" s="273">
        <f t="shared" si="712"/>
        <v>1.27</v>
      </c>
      <c r="D4418" s="273">
        <f t="shared" si="712"/>
        <v>0.99199999999999999</v>
      </c>
      <c r="E4418" s="278">
        <f>ROUND(E$4271*(1-$C1183),2)</f>
        <v>5.9</v>
      </c>
      <c r="F4418" s="278">
        <f t="shared" si="713"/>
        <v>0</v>
      </c>
      <c r="G4418" s="278">
        <f t="shared" si="713"/>
        <v>0</v>
      </c>
      <c r="H4418" s="273">
        <f>ROUND(H$4271*(1-$B1183),3)</f>
        <v>0</v>
      </c>
      <c r="I4418" s="265"/>
    </row>
    <row r="4419" spans="1:9">
      <c r="A4419" s="285" t="s">
        <v>1171</v>
      </c>
      <c r="B4419" s="273">
        <f t="shared" si="712"/>
        <v>6.0919999999999996</v>
      </c>
      <c r="C4419" s="273">
        <f t="shared" si="712"/>
        <v>0.77200000000000002</v>
      </c>
      <c r="D4419" s="273">
        <f t="shared" si="712"/>
        <v>0.60299999999999998</v>
      </c>
      <c r="E4419" s="278">
        <f>ROUND(E$4271*(1-$C1184),2)</f>
        <v>3.59</v>
      </c>
      <c r="F4419" s="278">
        <f t="shared" si="713"/>
        <v>0</v>
      </c>
      <c r="G4419" s="278">
        <f t="shared" si="713"/>
        <v>0</v>
      </c>
      <c r="H4419" s="273">
        <f>ROUND(H$4271*(1-$B1184),3)</f>
        <v>0</v>
      </c>
      <c r="I4419" s="265"/>
    </row>
    <row r="4420" spans="1:9">
      <c r="A4420" s="288" t="s">
        <v>131</v>
      </c>
      <c r="I4420" s="265"/>
    </row>
    <row r="4421" spans="1:9">
      <c r="A4421" s="285" t="s">
        <v>60</v>
      </c>
      <c r="B4421" s="273">
        <f t="shared" ref="B4421:D4423" si="714">ROUND(B$4272*(1-$B1186),3)</f>
        <v>11.659000000000001</v>
      </c>
      <c r="C4421" s="273">
        <f t="shared" si="714"/>
        <v>1.8</v>
      </c>
      <c r="D4421" s="273">
        <f t="shared" si="714"/>
        <v>1.5289999999999999</v>
      </c>
      <c r="E4421" s="278">
        <f>ROUND(E$4272*(1-$C1186),2)</f>
        <v>13.27</v>
      </c>
      <c r="F4421" s="278">
        <f t="shared" ref="F4421:G4423" si="715">ROUND(F$4272*(1-$B1186),2)</f>
        <v>3.43</v>
      </c>
      <c r="G4421" s="278">
        <f t="shared" si="715"/>
        <v>7.83</v>
      </c>
      <c r="H4421" s="273">
        <f>ROUND(H$4272*(1-$B1186),3)</f>
        <v>0.17100000000000001</v>
      </c>
      <c r="I4421" s="265"/>
    </row>
    <row r="4422" spans="1:9">
      <c r="A4422" s="285" t="s">
        <v>132</v>
      </c>
      <c r="B4422" s="273">
        <f t="shared" si="714"/>
        <v>7.3140000000000001</v>
      </c>
      <c r="C4422" s="273">
        <f t="shared" si="714"/>
        <v>1.129</v>
      </c>
      <c r="D4422" s="273">
        <f t="shared" si="714"/>
        <v>0.95899999999999996</v>
      </c>
      <c r="E4422" s="278">
        <f>ROUND(E$4272*(1-$C1187),2)</f>
        <v>8.32</v>
      </c>
      <c r="F4422" s="278">
        <f t="shared" si="715"/>
        <v>2.15</v>
      </c>
      <c r="G4422" s="278">
        <f t="shared" si="715"/>
        <v>4.91</v>
      </c>
      <c r="H4422" s="273">
        <f>ROUND(H$4272*(1-$B1187),3)</f>
        <v>0.107</v>
      </c>
      <c r="I4422" s="265"/>
    </row>
    <row r="4423" spans="1:9">
      <c r="A4423" s="285" t="s">
        <v>133</v>
      </c>
      <c r="B4423" s="273">
        <f t="shared" si="714"/>
        <v>4.444</v>
      </c>
      <c r="C4423" s="273">
        <f t="shared" si="714"/>
        <v>0.68600000000000005</v>
      </c>
      <c r="D4423" s="273">
        <f t="shared" si="714"/>
        <v>0.58299999999999996</v>
      </c>
      <c r="E4423" s="278">
        <f>ROUND(E$4272*(1-$C1188),2)</f>
        <v>5.0599999999999996</v>
      </c>
      <c r="F4423" s="278">
        <f t="shared" si="715"/>
        <v>1.31</v>
      </c>
      <c r="G4423" s="278">
        <f t="shared" si="715"/>
        <v>2.98</v>
      </c>
      <c r="H4423" s="273">
        <f>ROUND(H$4272*(1-$B1188),3)</f>
        <v>6.5000000000000002E-2</v>
      </c>
      <c r="I4423" s="265"/>
    </row>
    <row r="4424" spans="1:9">
      <c r="A4424" s="288" t="s">
        <v>134</v>
      </c>
      <c r="I4424" s="265"/>
    </row>
    <row r="4425" spans="1:9">
      <c r="A4425" s="285" t="s">
        <v>61</v>
      </c>
      <c r="B4425" s="273">
        <f t="shared" ref="B4425:D4426" si="716">ROUND(B$4273*(1-$B1190),3)</f>
        <v>9.3650000000000002</v>
      </c>
      <c r="C4425" s="273">
        <f t="shared" si="716"/>
        <v>1.6459999999999999</v>
      </c>
      <c r="D4425" s="273">
        <f t="shared" si="716"/>
        <v>1.496</v>
      </c>
      <c r="E4425" s="278">
        <f>ROUND(E$4273*(1-$C1190),2)</f>
        <v>10.220000000000001</v>
      </c>
      <c r="F4425" s="278">
        <f>ROUND(F$4273*(1-$B1190),2)</f>
        <v>3.68</v>
      </c>
      <c r="G4425" s="278">
        <f>ROUND(G$4273*(1-$B1190),2)</f>
        <v>7.57</v>
      </c>
      <c r="H4425" s="273">
        <f>ROUND(H$4273*(1-$B1190),3)</f>
        <v>0.121</v>
      </c>
      <c r="I4425" s="265"/>
    </row>
    <row r="4426" spans="1:9">
      <c r="A4426" s="285" t="s">
        <v>135</v>
      </c>
      <c r="B4426" s="273">
        <f t="shared" si="716"/>
        <v>5.8540000000000001</v>
      </c>
      <c r="C4426" s="273">
        <f t="shared" si="716"/>
        <v>1.0289999999999999</v>
      </c>
      <c r="D4426" s="273">
        <f t="shared" si="716"/>
        <v>0.93500000000000005</v>
      </c>
      <c r="E4426" s="278">
        <f>ROUND(E$4273*(1-$C1191),2)</f>
        <v>6.39</v>
      </c>
      <c r="F4426" s="278">
        <f>ROUND(F$4273*(1-$B1191),2)</f>
        <v>2.2999999999999998</v>
      </c>
      <c r="G4426" s="278">
        <f>ROUND(G$4273*(1-$B1191),2)</f>
        <v>4.7300000000000004</v>
      </c>
      <c r="H4426" s="273">
        <f>ROUND(H$4273*(1-$B1191),3)</f>
        <v>7.5999999999999998E-2</v>
      </c>
      <c r="I4426" s="265"/>
    </row>
    <row r="4427" spans="1:9">
      <c r="A4427" s="288" t="s">
        <v>136</v>
      </c>
      <c r="I4427" s="265"/>
    </row>
    <row r="4428" spans="1:9">
      <c r="A4428" s="285" t="s">
        <v>73</v>
      </c>
      <c r="B4428" s="273">
        <f t="shared" ref="B4428:D4429" si="717">ROUND(B$4274*(1-$B1193),3)</f>
        <v>7.3120000000000003</v>
      </c>
      <c r="C4428" s="273">
        <f t="shared" si="717"/>
        <v>1.536</v>
      </c>
      <c r="D4428" s="273">
        <f t="shared" si="717"/>
        <v>1.47</v>
      </c>
      <c r="E4428" s="278">
        <f>ROUND(E$4274*(1-$C1193),2)</f>
        <v>101.43</v>
      </c>
      <c r="F4428" s="278">
        <f>ROUND(F$4274*(1-$B1193),2)</f>
        <v>3.13</v>
      </c>
      <c r="G4428" s="278">
        <f>ROUND(G$4274*(1-$B1193),2)</f>
        <v>7.68</v>
      </c>
      <c r="H4428" s="273">
        <f>ROUND(H$4274*(1-$B1193),3)</f>
        <v>8.1000000000000003E-2</v>
      </c>
      <c r="I4428" s="265"/>
    </row>
    <row r="4429" spans="1:9">
      <c r="A4429" s="285" t="s">
        <v>137</v>
      </c>
      <c r="B4429" s="273">
        <f t="shared" si="717"/>
        <v>5.4210000000000003</v>
      </c>
      <c r="C4429" s="273">
        <f t="shared" si="717"/>
        <v>1.139</v>
      </c>
      <c r="D4429" s="273">
        <f t="shared" si="717"/>
        <v>1.0900000000000001</v>
      </c>
      <c r="E4429" s="278">
        <f>ROUND(E$4274*(1-$C1194),2)</f>
        <v>75.2</v>
      </c>
      <c r="F4429" s="278">
        <f>ROUND(F$4274*(1-$B1194),2)</f>
        <v>2.3199999999999998</v>
      </c>
      <c r="G4429" s="278">
        <f>ROUND(G$4274*(1-$B1194),2)</f>
        <v>5.69</v>
      </c>
      <c r="H4429" s="273">
        <f>ROUND(H$4274*(1-$B1194),3)</f>
        <v>0.06</v>
      </c>
      <c r="I4429" s="265"/>
    </row>
    <row r="4430" spans="1:9">
      <c r="A4430" s="288" t="s">
        <v>138</v>
      </c>
      <c r="I4430" s="265"/>
    </row>
    <row r="4431" spans="1:9">
      <c r="A4431" s="285" t="s">
        <v>93</v>
      </c>
      <c r="B4431" s="273">
        <f t="shared" ref="B4431:D4433" si="718">ROUND(B$4275*(1-$B1196),3)</f>
        <v>3.331</v>
      </c>
      <c r="C4431" s="273">
        <f t="shared" si="718"/>
        <v>0</v>
      </c>
      <c r="D4431" s="273">
        <f t="shared" si="718"/>
        <v>0</v>
      </c>
      <c r="E4431" s="278">
        <f>ROUND(E$4275*(1-$C1196),2)</f>
        <v>0</v>
      </c>
      <c r="F4431" s="278">
        <f t="shared" ref="F4431:G4433" si="719">ROUND(F$4275*(1-$B1196),2)</f>
        <v>0</v>
      </c>
      <c r="G4431" s="278">
        <f t="shared" si="719"/>
        <v>0</v>
      </c>
      <c r="H4431" s="273">
        <f>ROUND(H$4275*(1-$B1196),3)</f>
        <v>0</v>
      </c>
      <c r="I4431" s="265"/>
    </row>
    <row r="4432" spans="1:9">
      <c r="A4432" s="285" t="s">
        <v>139</v>
      </c>
      <c r="B4432" s="273">
        <f t="shared" si="718"/>
        <v>2.09</v>
      </c>
      <c r="C4432" s="273">
        <f t="shared" si="718"/>
        <v>0</v>
      </c>
      <c r="D4432" s="273">
        <f t="shared" si="718"/>
        <v>0</v>
      </c>
      <c r="E4432" s="278">
        <f>ROUND(E$4275*(1-$C1197),2)</f>
        <v>0</v>
      </c>
      <c r="F4432" s="278">
        <f t="shared" si="719"/>
        <v>0</v>
      </c>
      <c r="G4432" s="278">
        <f t="shared" si="719"/>
        <v>0</v>
      </c>
      <c r="H4432" s="273">
        <f>ROUND(H$4275*(1-$B1197),3)</f>
        <v>0</v>
      </c>
      <c r="I4432" s="265"/>
    </row>
    <row r="4433" spans="1:9">
      <c r="A4433" s="285" t="s">
        <v>140</v>
      </c>
      <c r="B4433" s="273">
        <f t="shared" si="718"/>
        <v>1.27</v>
      </c>
      <c r="C4433" s="273">
        <f t="shared" si="718"/>
        <v>0</v>
      </c>
      <c r="D4433" s="273">
        <f t="shared" si="718"/>
        <v>0</v>
      </c>
      <c r="E4433" s="278">
        <f>ROUND(E$4275*(1-$C1198),2)</f>
        <v>0</v>
      </c>
      <c r="F4433" s="278">
        <f t="shared" si="719"/>
        <v>0</v>
      </c>
      <c r="G4433" s="278">
        <f t="shared" si="719"/>
        <v>0</v>
      </c>
      <c r="H4433" s="273">
        <f>ROUND(H$4275*(1-$B1198),3)</f>
        <v>0</v>
      </c>
      <c r="I4433" s="265"/>
    </row>
    <row r="4434" spans="1:9">
      <c r="A4434" s="288" t="s">
        <v>141</v>
      </c>
      <c r="I4434" s="265"/>
    </row>
    <row r="4435" spans="1:9">
      <c r="A4435" s="285" t="s">
        <v>94</v>
      </c>
      <c r="B4435" s="273">
        <f t="shared" ref="B4435:D4437" si="720">ROUND(B$4276*(1-$B1200),3)</f>
        <v>3.7519999999999998</v>
      </c>
      <c r="C4435" s="273">
        <f t="shared" si="720"/>
        <v>0</v>
      </c>
      <c r="D4435" s="273">
        <f t="shared" si="720"/>
        <v>0</v>
      </c>
      <c r="E4435" s="278">
        <f>ROUND(E$4276*(1-$C1200),2)</f>
        <v>0</v>
      </c>
      <c r="F4435" s="278">
        <f t="shared" ref="F4435:G4437" si="721">ROUND(F$4276*(1-$B1200),2)</f>
        <v>0</v>
      </c>
      <c r="G4435" s="278">
        <f t="shared" si="721"/>
        <v>0</v>
      </c>
      <c r="H4435" s="273">
        <f>ROUND(H$4276*(1-$B1200),3)</f>
        <v>0</v>
      </c>
      <c r="I4435" s="265"/>
    </row>
    <row r="4436" spans="1:9">
      <c r="A4436" s="285" t="s">
        <v>142</v>
      </c>
      <c r="B4436" s="273">
        <f t="shared" si="720"/>
        <v>2.3540000000000001</v>
      </c>
      <c r="C4436" s="273">
        <f t="shared" si="720"/>
        <v>0</v>
      </c>
      <c r="D4436" s="273">
        <f t="shared" si="720"/>
        <v>0</v>
      </c>
      <c r="E4436" s="278">
        <f>ROUND(E$4276*(1-$C1201),2)</f>
        <v>0</v>
      </c>
      <c r="F4436" s="278">
        <f t="shared" si="721"/>
        <v>0</v>
      </c>
      <c r="G4436" s="278">
        <f t="shared" si="721"/>
        <v>0</v>
      </c>
      <c r="H4436" s="273">
        <f>ROUND(H$4276*(1-$B1201),3)</f>
        <v>0</v>
      </c>
      <c r="I4436" s="265"/>
    </row>
    <row r="4437" spans="1:9">
      <c r="A4437" s="285" t="s">
        <v>143</v>
      </c>
      <c r="B4437" s="273">
        <f t="shared" si="720"/>
        <v>1.43</v>
      </c>
      <c r="C4437" s="273">
        <f t="shared" si="720"/>
        <v>0</v>
      </c>
      <c r="D4437" s="273">
        <f t="shared" si="720"/>
        <v>0</v>
      </c>
      <c r="E4437" s="278">
        <f>ROUND(E$4276*(1-$C1202),2)</f>
        <v>0</v>
      </c>
      <c r="F4437" s="278">
        <f t="shared" si="721"/>
        <v>0</v>
      </c>
      <c r="G4437" s="278">
        <f t="shared" si="721"/>
        <v>0</v>
      </c>
      <c r="H4437" s="273">
        <f>ROUND(H$4276*(1-$B1202),3)</f>
        <v>0</v>
      </c>
      <c r="I4437" s="265"/>
    </row>
    <row r="4438" spans="1:9">
      <c r="A4438" s="288" t="s">
        <v>144</v>
      </c>
      <c r="I4438" s="265"/>
    </row>
    <row r="4439" spans="1:9">
      <c r="A4439" s="285" t="s">
        <v>95</v>
      </c>
      <c r="B4439" s="273">
        <f t="shared" ref="B4439:D4441" si="722">ROUND(B$4277*(1-$B1204),3)</f>
        <v>4.7409999999999997</v>
      </c>
      <c r="C4439" s="273">
        <f t="shared" si="722"/>
        <v>0</v>
      </c>
      <c r="D4439" s="273">
        <f t="shared" si="722"/>
        <v>0</v>
      </c>
      <c r="E4439" s="278">
        <f>ROUND(E$4277*(1-$C1204),2)</f>
        <v>0</v>
      </c>
      <c r="F4439" s="278">
        <f t="shared" ref="F4439:G4441" si="723">ROUND(F$4277*(1-$B1204),2)</f>
        <v>0</v>
      </c>
      <c r="G4439" s="278">
        <f t="shared" si="723"/>
        <v>0</v>
      </c>
      <c r="H4439" s="273">
        <f>ROUND(H$4277*(1-$B1204),3)</f>
        <v>0</v>
      </c>
      <c r="I4439" s="265"/>
    </row>
    <row r="4440" spans="1:9">
      <c r="A4440" s="285" t="s">
        <v>145</v>
      </c>
      <c r="B4440" s="273">
        <f t="shared" si="722"/>
        <v>2.9740000000000002</v>
      </c>
      <c r="C4440" s="273">
        <f t="shared" si="722"/>
        <v>0</v>
      </c>
      <c r="D4440" s="273">
        <f t="shared" si="722"/>
        <v>0</v>
      </c>
      <c r="E4440" s="278">
        <f>ROUND(E$4277*(1-$C1205),2)</f>
        <v>0</v>
      </c>
      <c r="F4440" s="278">
        <f t="shared" si="723"/>
        <v>0</v>
      </c>
      <c r="G4440" s="278">
        <f t="shared" si="723"/>
        <v>0</v>
      </c>
      <c r="H4440" s="273">
        <f>ROUND(H$4277*(1-$B1205),3)</f>
        <v>0</v>
      </c>
      <c r="I4440" s="265"/>
    </row>
    <row r="4441" spans="1:9">
      <c r="A4441" s="285" t="s">
        <v>146</v>
      </c>
      <c r="B4441" s="273">
        <f t="shared" si="722"/>
        <v>1.8069999999999999</v>
      </c>
      <c r="C4441" s="273">
        <f t="shared" si="722"/>
        <v>0</v>
      </c>
      <c r="D4441" s="273">
        <f t="shared" si="722"/>
        <v>0</v>
      </c>
      <c r="E4441" s="278">
        <f>ROUND(E$4277*(1-$C1206),2)</f>
        <v>0</v>
      </c>
      <c r="F4441" s="278">
        <f t="shared" si="723"/>
        <v>0</v>
      </c>
      <c r="G4441" s="278">
        <f t="shared" si="723"/>
        <v>0</v>
      </c>
      <c r="H4441" s="273">
        <f>ROUND(H$4277*(1-$B1206),3)</f>
        <v>0</v>
      </c>
      <c r="I4441" s="265"/>
    </row>
    <row r="4442" spans="1:9">
      <c r="A4442" s="288" t="s">
        <v>147</v>
      </c>
      <c r="I4442" s="265"/>
    </row>
    <row r="4443" spans="1:9">
      <c r="A4443" s="285" t="s">
        <v>96</v>
      </c>
      <c r="B4443" s="273">
        <f t="shared" ref="B4443:D4445" si="724">ROUND(B$4278*(1-$B1208),3)</f>
        <v>2.9220000000000002</v>
      </c>
      <c r="C4443" s="273">
        <f t="shared" si="724"/>
        <v>0</v>
      </c>
      <c r="D4443" s="273">
        <f t="shared" si="724"/>
        <v>0</v>
      </c>
      <c r="E4443" s="278">
        <f>ROUND(E$4278*(1-$C1208),2)</f>
        <v>0</v>
      </c>
      <c r="F4443" s="278">
        <f t="shared" ref="F4443:G4445" si="725">ROUND(F$4278*(1-$B1208),2)</f>
        <v>0</v>
      </c>
      <c r="G4443" s="278">
        <f t="shared" si="725"/>
        <v>0</v>
      </c>
      <c r="H4443" s="273">
        <f>ROUND(H$4278*(1-$B1208),3)</f>
        <v>0</v>
      </c>
      <c r="I4443" s="265"/>
    </row>
    <row r="4444" spans="1:9">
      <c r="A4444" s="285" t="s">
        <v>148</v>
      </c>
      <c r="B4444" s="273">
        <f t="shared" si="724"/>
        <v>1.833</v>
      </c>
      <c r="C4444" s="273">
        <f t="shared" si="724"/>
        <v>0</v>
      </c>
      <c r="D4444" s="273">
        <f t="shared" si="724"/>
        <v>0</v>
      </c>
      <c r="E4444" s="278">
        <f>ROUND(E$4278*(1-$C1209),2)</f>
        <v>0</v>
      </c>
      <c r="F4444" s="278">
        <f t="shared" si="725"/>
        <v>0</v>
      </c>
      <c r="G4444" s="278">
        <f t="shared" si="725"/>
        <v>0</v>
      </c>
      <c r="H4444" s="273">
        <f>ROUND(H$4278*(1-$B1209),3)</f>
        <v>0</v>
      </c>
      <c r="I4444" s="265"/>
    </row>
    <row r="4445" spans="1:9">
      <c r="A4445" s="285" t="s">
        <v>149</v>
      </c>
      <c r="B4445" s="273">
        <f t="shared" si="724"/>
        <v>1.1140000000000001</v>
      </c>
      <c r="C4445" s="273">
        <f t="shared" si="724"/>
        <v>0</v>
      </c>
      <c r="D4445" s="273">
        <f t="shared" si="724"/>
        <v>0</v>
      </c>
      <c r="E4445" s="278">
        <f>ROUND(E$4278*(1-$C1210),2)</f>
        <v>0</v>
      </c>
      <c r="F4445" s="278">
        <f t="shared" si="725"/>
        <v>0</v>
      </c>
      <c r="G4445" s="278">
        <f t="shared" si="725"/>
        <v>0</v>
      </c>
      <c r="H4445" s="273">
        <f>ROUND(H$4278*(1-$B1210),3)</f>
        <v>0</v>
      </c>
      <c r="I4445" s="265"/>
    </row>
    <row r="4446" spans="1:9">
      <c r="A4446" s="288" t="s">
        <v>150</v>
      </c>
      <c r="I4446" s="265"/>
    </row>
    <row r="4447" spans="1:9">
      <c r="A4447" s="285" t="s">
        <v>97</v>
      </c>
      <c r="B4447" s="273">
        <f t="shared" ref="B4447:D4449" si="726">ROUND(B$4279*(1-$B1212),3)</f>
        <v>38.238999999999997</v>
      </c>
      <c r="C4447" s="273">
        <f t="shared" si="726"/>
        <v>2.976</v>
      </c>
      <c r="D4447" s="273">
        <f t="shared" si="726"/>
        <v>2.5070000000000001</v>
      </c>
      <c r="E4447" s="278">
        <f>ROUND(E$4279*(1-$C1212),2)</f>
        <v>0</v>
      </c>
      <c r="F4447" s="278">
        <f t="shared" ref="F4447:G4449" si="727">ROUND(F$4279*(1-$B1212),2)</f>
        <v>0</v>
      </c>
      <c r="G4447" s="278">
        <f t="shared" si="727"/>
        <v>0</v>
      </c>
      <c r="H4447" s="273">
        <f>ROUND(H$4279*(1-$B1212),3)</f>
        <v>0</v>
      </c>
      <c r="I4447" s="265"/>
    </row>
    <row r="4448" spans="1:9">
      <c r="A4448" s="285" t="s">
        <v>151</v>
      </c>
      <c r="B4448" s="273">
        <f t="shared" si="726"/>
        <v>23.988</v>
      </c>
      <c r="C4448" s="273">
        <f t="shared" si="726"/>
        <v>1.867</v>
      </c>
      <c r="D4448" s="273">
        <f t="shared" si="726"/>
        <v>1.573</v>
      </c>
      <c r="E4448" s="278">
        <f>ROUND(E$4279*(1-$C1213),2)</f>
        <v>0</v>
      </c>
      <c r="F4448" s="278">
        <f t="shared" si="727"/>
        <v>0</v>
      </c>
      <c r="G4448" s="278">
        <f t="shared" si="727"/>
        <v>0</v>
      </c>
      <c r="H4448" s="273">
        <f>ROUND(H$4279*(1-$B1213),3)</f>
        <v>0</v>
      </c>
      <c r="I4448" s="265"/>
    </row>
    <row r="4449" spans="1:9">
      <c r="A4449" s="285" t="s">
        <v>152</v>
      </c>
      <c r="B4449" s="273">
        <f t="shared" si="726"/>
        <v>14.576000000000001</v>
      </c>
      <c r="C4449" s="273">
        <f t="shared" si="726"/>
        <v>1.1339999999999999</v>
      </c>
      <c r="D4449" s="273">
        <f t="shared" si="726"/>
        <v>0.95599999999999996</v>
      </c>
      <c r="E4449" s="278">
        <f>ROUND(E$4279*(1-$C1214),2)</f>
        <v>0</v>
      </c>
      <c r="F4449" s="278">
        <f t="shared" si="727"/>
        <v>0</v>
      </c>
      <c r="G4449" s="278">
        <f t="shared" si="727"/>
        <v>0</v>
      </c>
      <c r="H4449" s="273">
        <f>ROUND(H$4279*(1-$B1214),3)</f>
        <v>0</v>
      </c>
      <c r="I4449" s="265"/>
    </row>
    <row r="4450" spans="1:9">
      <c r="A4450" s="288" t="s">
        <v>1179</v>
      </c>
      <c r="I4450" s="265"/>
    </row>
    <row r="4451" spans="1:9">
      <c r="A4451" s="285" t="s">
        <v>1176</v>
      </c>
      <c r="B4451" s="273">
        <f t="shared" ref="B4451:D4453" si="728">ROUND(B$4280*(1-$B1216),3)</f>
        <v>-0.78700000000000003</v>
      </c>
      <c r="C4451" s="273">
        <f t="shared" si="728"/>
        <v>0</v>
      </c>
      <c r="D4451" s="273">
        <f t="shared" si="728"/>
        <v>0</v>
      </c>
      <c r="E4451" s="278">
        <f>ROUND(E$4280*(1-$C1216),2)</f>
        <v>0</v>
      </c>
      <c r="F4451" s="278">
        <f t="shared" ref="F4451:G4453" si="729">ROUND(F$4280*(1-$B1216),2)</f>
        <v>0</v>
      </c>
      <c r="G4451" s="278">
        <f t="shared" si="729"/>
        <v>0</v>
      </c>
      <c r="H4451" s="273">
        <f>ROUND(H$4280*(1-$B1216),3)</f>
        <v>0</v>
      </c>
      <c r="I4451" s="265"/>
    </row>
    <row r="4452" spans="1:9">
      <c r="A4452" s="285" t="s">
        <v>1173</v>
      </c>
      <c r="B4452" s="273">
        <f t="shared" si="728"/>
        <v>-0.78700000000000003</v>
      </c>
      <c r="C4452" s="273">
        <f t="shared" si="728"/>
        <v>0</v>
      </c>
      <c r="D4452" s="273">
        <f t="shared" si="728"/>
        <v>0</v>
      </c>
      <c r="E4452" s="278">
        <f>ROUND(E$4280*(1-$C1217),2)</f>
        <v>0</v>
      </c>
      <c r="F4452" s="278">
        <f t="shared" si="729"/>
        <v>0</v>
      </c>
      <c r="G4452" s="278">
        <f t="shared" si="729"/>
        <v>0</v>
      </c>
      <c r="H4452" s="273">
        <f>ROUND(H$4280*(1-$B1217),3)</f>
        <v>0</v>
      </c>
      <c r="I4452" s="265"/>
    </row>
    <row r="4453" spans="1:9">
      <c r="A4453" s="285" t="s">
        <v>1170</v>
      </c>
      <c r="B4453" s="273">
        <f t="shared" si="728"/>
        <v>-0.78700000000000003</v>
      </c>
      <c r="C4453" s="273">
        <f t="shared" si="728"/>
        <v>0</v>
      </c>
      <c r="D4453" s="273">
        <f t="shared" si="728"/>
        <v>0</v>
      </c>
      <c r="E4453" s="278">
        <f>ROUND(E$4280*(1-$C1218),2)</f>
        <v>0</v>
      </c>
      <c r="F4453" s="278">
        <f t="shared" si="729"/>
        <v>0</v>
      </c>
      <c r="G4453" s="278">
        <f t="shared" si="729"/>
        <v>0</v>
      </c>
      <c r="H4453" s="273">
        <f>ROUND(H$4280*(1-$B1218),3)</f>
        <v>0</v>
      </c>
      <c r="I4453" s="265"/>
    </row>
    <row r="4454" spans="1:9">
      <c r="A4454" s="288" t="s">
        <v>153</v>
      </c>
      <c r="I4454" s="265"/>
    </row>
    <row r="4455" spans="1:9">
      <c r="A4455" s="285" t="s">
        <v>62</v>
      </c>
      <c r="B4455" s="273">
        <f t="shared" ref="B4455:D4456" si="730">ROUND(B$4281*(1-$B1220),3)</f>
        <v>-0.71199999999999997</v>
      </c>
      <c r="C4455" s="273">
        <f t="shared" si="730"/>
        <v>0</v>
      </c>
      <c r="D4455" s="273">
        <f t="shared" si="730"/>
        <v>0</v>
      </c>
      <c r="E4455" s="278">
        <f>ROUND(E$4281*(1-$C1220),2)</f>
        <v>0</v>
      </c>
      <c r="F4455" s="278">
        <f>ROUND(F$4281*(1-$B1220),2)</f>
        <v>0</v>
      </c>
      <c r="G4455" s="278">
        <f>ROUND(G$4281*(1-$B1220),2)</f>
        <v>0</v>
      </c>
      <c r="H4455" s="273">
        <f>ROUND(H$4281*(1-$B1220),3)</f>
        <v>0</v>
      </c>
      <c r="I4455" s="265"/>
    </row>
    <row r="4456" spans="1:9">
      <c r="A4456" s="285" t="s">
        <v>154</v>
      </c>
      <c r="B4456" s="273">
        <f t="shared" si="730"/>
        <v>-0.71199999999999997</v>
      </c>
      <c r="C4456" s="273">
        <f t="shared" si="730"/>
        <v>0</v>
      </c>
      <c r="D4456" s="273">
        <f t="shared" si="730"/>
        <v>0</v>
      </c>
      <c r="E4456" s="278">
        <f>ROUND(E$4281*(1-$C1221),2)</f>
        <v>0</v>
      </c>
      <c r="F4456" s="278">
        <f>ROUND(F$4281*(1-$B1221),2)</f>
        <v>0</v>
      </c>
      <c r="G4456" s="278">
        <f>ROUND(G$4281*(1-$B1221),2)</f>
        <v>0</v>
      </c>
      <c r="H4456" s="273">
        <f>ROUND(H$4281*(1-$B1221),3)</f>
        <v>0</v>
      </c>
      <c r="I4456" s="265"/>
    </row>
    <row r="4457" spans="1:9">
      <c r="A4457" s="288" t="s">
        <v>155</v>
      </c>
      <c r="I4457" s="265"/>
    </row>
    <row r="4458" spans="1:9">
      <c r="A4458" s="285" t="s">
        <v>63</v>
      </c>
      <c r="B4458" s="273">
        <f t="shared" ref="B4458:D4460" si="731">ROUND(B$4282*(1-$B1223),3)</f>
        <v>-0.78700000000000003</v>
      </c>
      <c r="C4458" s="273">
        <f t="shared" si="731"/>
        <v>0</v>
      </c>
      <c r="D4458" s="273">
        <f t="shared" si="731"/>
        <v>0</v>
      </c>
      <c r="E4458" s="278">
        <f>ROUND(E$4282*(1-$C1223),2)</f>
        <v>0</v>
      </c>
      <c r="F4458" s="278">
        <f t="shared" ref="F4458:G4460" si="732">ROUND(F$4282*(1-$B1223),2)</f>
        <v>0</v>
      </c>
      <c r="G4458" s="278">
        <f t="shared" si="732"/>
        <v>0</v>
      </c>
      <c r="H4458" s="273">
        <f>ROUND(H$4282*(1-$B1223),3)</f>
        <v>0.17</v>
      </c>
      <c r="I4458" s="265"/>
    </row>
    <row r="4459" spans="1:9">
      <c r="A4459" s="285" t="s">
        <v>156</v>
      </c>
      <c r="B4459" s="273">
        <f t="shared" si="731"/>
        <v>-0.78700000000000003</v>
      </c>
      <c r="C4459" s="273">
        <f t="shared" si="731"/>
        <v>0</v>
      </c>
      <c r="D4459" s="273">
        <f t="shared" si="731"/>
        <v>0</v>
      </c>
      <c r="E4459" s="278">
        <f>ROUND(E$4282*(1-$C1224),2)</f>
        <v>0</v>
      </c>
      <c r="F4459" s="278">
        <f t="shared" si="732"/>
        <v>0</v>
      </c>
      <c r="G4459" s="278">
        <f t="shared" si="732"/>
        <v>0</v>
      </c>
      <c r="H4459" s="273">
        <f>ROUND(H$4282*(1-$B1224),3)</f>
        <v>0.17</v>
      </c>
      <c r="I4459" s="265"/>
    </row>
    <row r="4460" spans="1:9">
      <c r="A4460" s="285" t="s">
        <v>157</v>
      </c>
      <c r="B4460" s="273">
        <f t="shared" si="731"/>
        <v>-0.78700000000000003</v>
      </c>
      <c r="C4460" s="273">
        <f t="shared" si="731"/>
        <v>0</v>
      </c>
      <c r="D4460" s="273">
        <f t="shared" si="731"/>
        <v>0</v>
      </c>
      <c r="E4460" s="278">
        <f>ROUND(E$4282*(1-$C1225),2)</f>
        <v>0</v>
      </c>
      <c r="F4460" s="278">
        <f t="shared" si="732"/>
        <v>0</v>
      </c>
      <c r="G4460" s="278">
        <f t="shared" si="732"/>
        <v>0</v>
      </c>
      <c r="H4460" s="273">
        <f>ROUND(H$4282*(1-$B1225),3)</f>
        <v>0.17</v>
      </c>
      <c r="I4460" s="265"/>
    </row>
    <row r="4461" spans="1:9">
      <c r="A4461" s="288" t="s">
        <v>1559</v>
      </c>
      <c r="I4461" s="265"/>
    </row>
    <row r="4462" spans="1:9">
      <c r="A4462" s="285" t="s">
        <v>1516</v>
      </c>
      <c r="B4462" s="273">
        <f>ROUND(B$4283*(1-$B1227),3)</f>
        <v>-0.78700000000000003</v>
      </c>
      <c r="C4462" s="273">
        <f>ROUND(C$4283*(1-$B1227),3)</f>
        <v>0</v>
      </c>
      <c r="D4462" s="273">
        <f>ROUND(D$4283*(1-$B1227),3)</f>
        <v>0</v>
      </c>
      <c r="E4462" s="278">
        <f>ROUND(E$4283*(1-$C1227),2)</f>
        <v>0</v>
      </c>
      <c r="F4462" s="278">
        <f>ROUND(F$4283*(1-$B1227),2)</f>
        <v>0</v>
      </c>
      <c r="G4462" s="278">
        <f>ROUND(G$4283*(1-$B1227),2)</f>
        <v>0</v>
      </c>
      <c r="H4462" s="273">
        <f>ROUND(H$4283*(1-$B1227),3)</f>
        <v>0</v>
      </c>
      <c r="I4462" s="265"/>
    </row>
    <row r="4463" spans="1:9">
      <c r="A4463" s="288" t="s">
        <v>158</v>
      </c>
      <c r="I4463" s="265"/>
    </row>
    <row r="4464" spans="1:9">
      <c r="A4464" s="285" t="s">
        <v>64</v>
      </c>
      <c r="B4464" s="273">
        <f t="shared" ref="B4464:D4466" si="733">ROUND(B$4284*(1-$B1229),3)</f>
        <v>-9.6340000000000003</v>
      </c>
      <c r="C4464" s="273">
        <f t="shared" si="733"/>
        <v>-0.39700000000000002</v>
      </c>
      <c r="D4464" s="273">
        <f t="shared" si="733"/>
        <v>-0.104</v>
      </c>
      <c r="E4464" s="278">
        <f>ROUND(E$4284*(1-$C1229),2)</f>
        <v>0</v>
      </c>
      <c r="F4464" s="278">
        <f t="shared" ref="F4464:G4466" si="734">ROUND(F$4284*(1-$B1229),2)</f>
        <v>0</v>
      </c>
      <c r="G4464" s="278">
        <f t="shared" si="734"/>
        <v>0</v>
      </c>
      <c r="H4464" s="273">
        <f>ROUND(H$4284*(1-$B1229),3)</f>
        <v>0.17</v>
      </c>
      <c r="I4464" s="265"/>
    </row>
    <row r="4465" spans="1:9">
      <c r="A4465" s="285" t="s">
        <v>159</v>
      </c>
      <c r="B4465" s="273">
        <f t="shared" si="733"/>
        <v>-9.6340000000000003</v>
      </c>
      <c r="C4465" s="273">
        <f t="shared" si="733"/>
        <v>-0.39700000000000002</v>
      </c>
      <c r="D4465" s="273">
        <f t="shared" si="733"/>
        <v>-0.104</v>
      </c>
      <c r="E4465" s="278">
        <f>ROUND(E$4284*(1-$C1230),2)</f>
        <v>0</v>
      </c>
      <c r="F4465" s="278">
        <f t="shared" si="734"/>
        <v>0</v>
      </c>
      <c r="G4465" s="278">
        <f t="shared" si="734"/>
        <v>0</v>
      </c>
      <c r="H4465" s="273">
        <f>ROUND(H$4284*(1-$B1230),3)</f>
        <v>0.17</v>
      </c>
      <c r="I4465" s="265"/>
    </row>
    <row r="4466" spans="1:9">
      <c r="A4466" s="285" t="s">
        <v>160</v>
      </c>
      <c r="B4466" s="273">
        <f t="shared" si="733"/>
        <v>-9.6340000000000003</v>
      </c>
      <c r="C4466" s="273">
        <f t="shared" si="733"/>
        <v>-0.39700000000000002</v>
      </c>
      <c r="D4466" s="273">
        <f t="shared" si="733"/>
        <v>-0.104</v>
      </c>
      <c r="E4466" s="278">
        <f>ROUND(E$4284*(1-$C1231),2)</f>
        <v>0</v>
      </c>
      <c r="F4466" s="278">
        <f t="shared" si="734"/>
        <v>0</v>
      </c>
      <c r="G4466" s="278">
        <f t="shared" si="734"/>
        <v>0</v>
      </c>
      <c r="H4466" s="273">
        <f>ROUND(H$4284*(1-$B1231),3)</f>
        <v>0.17</v>
      </c>
      <c r="I4466" s="265"/>
    </row>
    <row r="4467" spans="1:9">
      <c r="A4467" s="288" t="s">
        <v>1560</v>
      </c>
      <c r="I4467" s="265"/>
    </row>
    <row r="4468" spans="1:9">
      <c r="A4468" s="285" t="s">
        <v>1517</v>
      </c>
      <c r="B4468" s="273">
        <f>ROUND(B$4285*(1-$B1233),3)</f>
        <v>-9.6340000000000003</v>
      </c>
      <c r="C4468" s="273">
        <f>ROUND(C$4285*(1-$B1233),3)</f>
        <v>-0.39700000000000002</v>
      </c>
      <c r="D4468" s="273">
        <f>ROUND(D$4285*(1-$B1233),3)</f>
        <v>-0.104</v>
      </c>
      <c r="E4468" s="278">
        <f>ROUND(E$4285*(1-$C1233),2)</f>
        <v>0</v>
      </c>
      <c r="F4468" s="278">
        <f>ROUND(F$4285*(1-$B1233),2)</f>
        <v>0</v>
      </c>
      <c r="G4468" s="278">
        <f>ROUND(G$4285*(1-$B1233),2)</f>
        <v>0</v>
      </c>
      <c r="H4468" s="273">
        <f>ROUND(H$4285*(1-$B1233),3)</f>
        <v>0</v>
      </c>
      <c r="I4468" s="265"/>
    </row>
    <row r="4469" spans="1:9">
      <c r="A4469" s="288" t="s">
        <v>161</v>
      </c>
      <c r="I4469" s="265"/>
    </row>
    <row r="4470" spans="1:9">
      <c r="A4470" s="285" t="s">
        <v>65</v>
      </c>
      <c r="B4470" s="273">
        <f t="shared" ref="B4470:D4471" si="735">ROUND(B$4286*(1-$B1235),3)</f>
        <v>-0.71199999999999997</v>
      </c>
      <c r="C4470" s="273">
        <f t="shared" si="735"/>
        <v>0</v>
      </c>
      <c r="D4470" s="273">
        <f t="shared" si="735"/>
        <v>0</v>
      </c>
      <c r="E4470" s="278">
        <f>ROUND(E$4286*(1-$C1235),2)</f>
        <v>0</v>
      </c>
      <c r="F4470" s="278">
        <f>ROUND(F$4286*(1-$B1235),2)</f>
        <v>0</v>
      </c>
      <c r="G4470" s="278">
        <f>ROUND(G$4286*(1-$B1235),2)</f>
        <v>0</v>
      </c>
      <c r="H4470" s="273">
        <f>ROUND(H$4286*(1-$B1235),3)</f>
        <v>0.14199999999999999</v>
      </c>
      <c r="I4470" s="265"/>
    </row>
    <row r="4471" spans="1:9">
      <c r="A4471" s="285" t="s">
        <v>162</v>
      </c>
      <c r="B4471" s="273">
        <f t="shared" si="735"/>
        <v>-0.71199999999999997</v>
      </c>
      <c r="C4471" s="273">
        <f t="shared" si="735"/>
        <v>0</v>
      </c>
      <c r="D4471" s="273">
        <f t="shared" si="735"/>
        <v>0</v>
      </c>
      <c r="E4471" s="278">
        <f>ROUND(E$4286*(1-$C1236),2)</f>
        <v>0</v>
      </c>
      <c r="F4471" s="278">
        <f>ROUND(F$4286*(1-$B1236),2)</f>
        <v>0</v>
      </c>
      <c r="G4471" s="278">
        <f>ROUND(G$4286*(1-$B1236),2)</f>
        <v>0</v>
      </c>
      <c r="H4471" s="273">
        <f>ROUND(H$4286*(1-$B1236),3)</f>
        <v>0.14199999999999999</v>
      </c>
      <c r="I4471" s="265"/>
    </row>
    <row r="4472" spans="1:9">
      <c r="A4472" s="288" t="s">
        <v>1561</v>
      </c>
      <c r="I4472" s="265"/>
    </row>
    <row r="4473" spans="1:9">
      <c r="A4473" s="285" t="s">
        <v>1518</v>
      </c>
      <c r="B4473" s="273">
        <f>ROUND(B$4287*(1-$B1238),3)</f>
        <v>-0.71199999999999997</v>
      </c>
      <c r="C4473" s="273">
        <f>ROUND(C$4287*(1-$B1238),3)</f>
        <v>0</v>
      </c>
      <c r="D4473" s="273">
        <f>ROUND(D$4287*(1-$B1238),3)</f>
        <v>0</v>
      </c>
      <c r="E4473" s="278">
        <f>ROUND(E$4287*(1-$C1238),2)</f>
        <v>0</v>
      </c>
      <c r="F4473" s="278">
        <f>ROUND(F$4287*(1-$B1238),2)</f>
        <v>0</v>
      </c>
      <c r="G4473" s="278">
        <f>ROUND(G$4287*(1-$B1238),2)</f>
        <v>0</v>
      </c>
      <c r="H4473" s="273">
        <f>ROUND(H$4287*(1-$B1238),3)</f>
        <v>0</v>
      </c>
      <c r="I4473" s="265"/>
    </row>
    <row r="4474" spans="1:9">
      <c r="A4474" s="288" t="s">
        <v>163</v>
      </c>
      <c r="I4474" s="265"/>
    </row>
    <row r="4475" spans="1:9">
      <c r="A4475" s="285" t="s">
        <v>66</v>
      </c>
      <c r="B4475" s="273">
        <f t="shared" ref="B4475:D4476" si="736">ROUND(B$4288*(1-$B1240),3)</f>
        <v>-8.8510000000000009</v>
      </c>
      <c r="C4475" s="273">
        <f t="shared" si="736"/>
        <v>-0.34</v>
      </c>
      <c r="D4475" s="273">
        <f t="shared" si="736"/>
        <v>-9.1999999999999998E-2</v>
      </c>
      <c r="E4475" s="278">
        <f>ROUND(E$4288*(1-$C1240),2)</f>
        <v>0</v>
      </c>
      <c r="F4475" s="278">
        <f>ROUND(F$4288*(1-$B1240),2)</f>
        <v>0</v>
      </c>
      <c r="G4475" s="278">
        <f>ROUND(G$4288*(1-$B1240),2)</f>
        <v>0</v>
      </c>
      <c r="H4475" s="273">
        <f>ROUND(H$4288*(1-$B1240),3)</f>
        <v>0.14199999999999999</v>
      </c>
      <c r="I4475" s="265"/>
    </row>
    <row r="4476" spans="1:9">
      <c r="A4476" s="285" t="s">
        <v>164</v>
      </c>
      <c r="B4476" s="273">
        <f t="shared" si="736"/>
        <v>-8.8510000000000009</v>
      </c>
      <c r="C4476" s="273">
        <f t="shared" si="736"/>
        <v>-0.34</v>
      </c>
      <c r="D4476" s="273">
        <f t="shared" si="736"/>
        <v>-9.1999999999999998E-2</v>
      </c>
      <c r="E4476" s="278">
        <f>ROUND(E$4288*(1-$C1241),2)</f>
        <v>0</v>
      </c>
      <c r="F4476" s="278">
        <f>ROUND(F$4288*(1-$B1241),2)</f>
        <v>0</v>
      </c>
      <c r="G4476" s="278">
        <f>ROUND(G$4288*(1-$B1241),2)</f>
        <v>0</v>
      </c>
      <c r="H4476" s="273">
        <f>ROUND(H$4288*(1-$B1241),3)</f>
        <v>0.14199999999999999</v>
      </c>
      <c r="I4476" s="265"/>
    </row>
    <row r="4477" spans="1:9">
      <c r="A4477" s="288" t="s">
        <v>1562</v>
      </c>
      <c r="I4477" s="265"/>
    </row>
    <row r="4478" spans="1:9">
      <c r="A4478" s="285" t="s">
        <v>1519</v>
      </c>
      <c r="B4478" s="273">
        <f>ROUND(B$4289*(1-$B1243),3)</f>
        <v>-8.8510000000000009</v>
      </c>
      <c r="C4478" s="273">
        <f>ROUND(C$4289*(1-$B1243),3)</f>
        <v>-0.34</v>
      </c>
      <c r="D4478" s="273">
        <f>ROUND(D$4289*(1-$B1243),3)</f>
        <v>-9.1999999999999998E-2</v>
      </c>
      <c r="E4478" s="278">
        <f>ROUND(E$4289*(1-$C1243),2)</f>
        <v>0</v>
      </c>
      <c r="F4478" s="278">
        <f>ROUND(F$4289*(1-$B1243),2)</f>
        <v>0</v>
      </c>
      <c r="G4478" s="278">
        <f>ROUND(G$4289*(1-$B1243),2)</f>
        <v>0</v>
      </c>
      <c r="H4478" s="273">
        <f>ROUND(H$4289*(1-$B1243),3)</f>
        <v>0</v>
      </c>
      <c r="I4478" s="265"/>
    </row>
    <row r="4479" spans="1:9">
      <c r="A4479" s="288" t="s">
        <v>165</v>
      </c>
      <c r="I4479" s="265"/>
    </row>
    <row r="4480" spans="1:9">
      <c r="A4480" s="285" t="s">
        <v>74</v>
      </c>
      <c r="B4480" s="273">
        <f t="shared" ref="B4480:D4481" si="737">ROUND(B$4290*(1-$B1245),3)</f>
        <v>-0.45400000000000001</v>
      </c>
      <c r="C4480" s="273">
        <f t="shared" si="737"/>
        <v>0</v>
      </c>
      <c r="D4480" s="273">
        <f t="shared" si="737"/>
        <v>0</v>
      </c>
      <c r="E4480" s="278">
        <f>ROUND(E$4290*(1-$C1245),2)</f>
        <v>48.9</v>
      </c>
      <c r="F4480" s="278">
        <f>ROUND(F$4290*(1-$B1245),2)</f>
        <v>0</v>
      </c>
      <c r="G4480" s="278">
        <f>ROUND(G$4290*(1-$B1245),2)</f>
        <v>0</v>
      </c>
      <c r="H4480" s="273">
        <f>ROUND(H$4290*(1-$B1245),3)</f>
        <v>0.109</v>
      </c>
      <c r="I4480" s="265"/>
    </row>
    <row r="4481" spans="1:9">
      <c r="A4481" s="285" t="s">
        <v>166</v>
      </c>
      <c r="B4481" s="273">
        <f t="shared" si="737"/>
        <v>-0.45400000000000001</v>
      </c>
      <c r="C4481" s="273">
        <f t="shared" si="737"/>
        <v>0</v>
      </c>
      <c r="D4481" s="273">
        <f t="shared" si="737"/>
        <v>0</v>
      </c>
      <c r="E4481" s="278">
        <f>ROUND(E$4290*(1-$C1246),2)</f>
        <v>0</v>
      </c>
      <c r="F4481" s="278">
        <f>ROUND(F$4290*(1-$B1246),2)</f>
        <v>0</v>
      </c>
      <c r="G4481" s="278">
        <f>ROUND(G$4290*(1-$B1246),2)</f>
        <v>0</v>
      </c>
      <c r="H4481" s="273">
        <f>ROUND(H$4290*(1-$B1246),3)</f>
        <v>0.109</v>
      </c>
      <c r="I4481" s="265"/>
    </row>
    <row r="4482" spans="1:9">
      <c r="A4482" s="288" t="s">
        <v>1563</v>
      </c>
      <c r="I4482" s="265"/>
    </row>
    <row r="4483" spans="1:9">
      <c r="A4483" s="285" t="s">
        <v>1520</v>
      </c>
      <c r="B4483" s="273">
        <f>ROUND(B$4291*(1-$B1248),3)</f>
        <v>-0.45400000000000001</v>
      </c>
      <c r="C4483" s="273">
        <f>ROUND(C$4291*(1-$B1248),3)</f>
        <v>0</v>
      </c>
      <c r="D4483" s="273">
        <f>ROUND(D$4291*(1-$B1248),3)</f>
        <v>0</v>
      </c>
      <c r="E4483" s="278">
        <f>ROUND(E$4291*(1-$C1248),2)</f>
        <v>48.9</v>
      </c>
      <c r="F4483" s="278">
        <f>ROUND(F$4291*(1-$B1248),2)</f>
        <v>0</v>
      </c>
      <c r="G4483" s="278">
        <f>ROUND(G$4291*(1-$B1248),2)</f>
        <v>0</v>
      </c>
      <c r="H4483" s="273">
        <f>ROUND(H$4291*(1-$B1248),3)</f>
        <v>0</v>
      </c>
      <c r="I4483" s="265"/>
    </row>
    <row r="4484" spans="1:9">
      <c r="A4484" s="288" t="s">
        <v>167</v>
      </c>
      <c r="I4484" s="265"/>
    </row>
    <row r="4485" spans="1:9">
      <c r="A4485" s="285" t="s">
        <v>75</v>
      </c>
      <c r="B4485" s="273">
        <f t="shared" ref="B4485:D4486" si="738">ROUND(B$4292*(1-$B1250),3)</f>
        <v>-6.157</v>
      </c>
      <c r="C4485" s="273">
        <f t="shared" si="738"/>
        <v>-0.14799999999999999</v>
      </c>
      <c r="D4485" s="273">
        <f t="shared" si="738"/>
        <v>-5.1999999999999998E-2</v>
      </c>
      <c r="E4485" s="278">
        <f>ROUND(E$4292*(1-$C1250),2)</f>
        <v>48.9</v>
      </c>
      <c r="F4485" s="278">
        <f>ROUND(F$4292*(1-$B1250),2)</f>
        <v>0</v>
      </c>
      <c r="G4485" s="278">
        <f>ROUND(G$4292*(1-$B1250),2)</f>
        <v>0</v>
      </c>
      <c r="H4485" s="273">
        <f>ROUND(H$4292*(1-$B1250),3)</f>
        <v>0.109</v>
      </c>
      <c r="I4485" s="265"/>
    </row>
    <row r="4486" spans="1:9">
      <c r="A4486" s="285" t="s">
        <v>168</v>
      </c>
      <c r="B4486" s="273">
        <f t="shared" si="738"/>
        <v>-6.157</v>
      </c>
      <c r="C4486" s="273">
        <f t="shared" si="738"/>
        <v>-0.14799999999999999</v>
      </c>
      <c r="D4486" s="273">
        <f t="shared" si="738"/>
        <v>-5.1999999999999998E-2</v>
      </c>
      <c r="E4486" s="278">
        <f>ROUND(E$4292*(1-$C1251),2)</f>
        <v>0</v>
      </c>
      <c r="F4486" s="278">
        <f>ROUND(F$4292*(1-$B1251),2)</f>
        <v>0</v>
      </c>
      <c r="G4486" s="278">
        <f>ROUND(G$4292*(1-$B1251),2)</f>
        <v>0</v>
      </c>
      <c r="H4486" s="273">
        <f>ROUND(H$4292*(1-$B1251),3)</f>
        <v>0.109</v>
      </c>
      <c r="I4486" s="265"/>
    </row>
    <row r="4487" spans="1:9">
      <c r="A4487" s="288" t="s">
        <v>1564</v>
      </c>
      <c r="I4487" s="265"/>
    </row>
    <row r="4488" spans="1:9">
      <c r="A4488" s="285" t="s">
        <v>1521</v>
      </c>
      <c r="B4488" s="273">
        <f>ROUND(B$4293*(1-$B1253),3)</f>
        <v>-6.157</v>
      </c>
      <c r="C4488" s="273">
        <f>ROUND(C$4293*(1-$B1253),3)</f>
        <v>-0.14799999999999999</v>
      </c>
      <c r="D4488" s="273">
        <f>ROUND(D$4293*(1-$B1253),3)</f>
        <v>-5.1999999999999998E-2</v>
      </c>
      <c r="E4488" s="278">
        <f>ROUND(E$4293*(1-$C1253),2)</f>
        <v>48.9</v>
      </c>
      <c r="F4488" s="278">
        <f>ROUND(F$4293*(1-$B1253),2)</f>
        <v>0</v>
      </c>
      <c r="G4488" s="278">
        <f>ROUND(G$4293*(1-$B1253),2)</f>
        <v>0</v>
      </c>
      <c r="H4488" s="273">
        <f>ROUND(H$4293*(1-$B1253),3)</f>
        <v>0</v>
      </c>
      <c r="I4488" s="265"/>
    </row>
    <row r="4490" spans="1:9" ht="21" customHeight="1">
      <c r="A4490" s="1" t="s">
        <v>1390</v>
      </c>
    </row>
    <row r="4491" spans="1:9">
      <c r="A4491" s="264" t="s">
        <v>970</v>
      </c>
    </row>
    <row r="4492" spans="1:9">
      <c r="A4492" s="264" t="s">
        <v>971</v>
      </c>
    </row>
    <row r="4493" spans="1:9">
      <c r="A4493" s="264" t="s">
        <v>1391</v>
      </c>
    </row>
    <row r="4494" spans="1:9">
      <c r="A4494" s="264" t="s">
        <v>1184</v>
      </c>
    </row>
    <row r="4495" spans="1:9">
      <c r="A4495" s="264" t="s">
        <v>1751</v>
      </c>
    </row>
    <row r="4496" spans="1:9">
      <c r="A4496" s="264" t="s">
        <v>1392</v>
      </c>
    </row>
    <row r="4497" spans="1:1">
      <c r="A4497" s="264" t="s">
        <v>972</v>
      </c>
    </row>
    <row r="4498" spans="1:1">
      <c r="A4498" s="264" t="s">
        <v>1393</v>
      </c>
    </row>
    <row r="4499" spans="1:1">
      <c r="A4499" s="264" t="s">
        <v>973</v>
      </c>
    </row>
    <row r="4500" spans="1:1">
      <c r="A4500" s="264" t="s">
        <v>974</v>
      </c>
    </row>
    <row r="4501" spans="1:1">
      <c r="A4501" s="264" t="s">
        <v>1183</v>
      </c>
    </row>
    <row r="4502" spans="1:1">
      <c r="A4502" s="264" t="s">
        <v>1699</v>
      </c>
    </row>
    <row r="4503" spans="1:1">
      <c r="A4503" s="264" t="s">
        <v>975</v>
      </c>
    </row>
    <row r="4504" spans="1:1">
      <c r="A4504" s="264" t="s">
        <v>976</v>
      </c>
    </row>
    <row r="4505" spans="1:1">
      <c r="A4505" s="264" t="s">
        <v>977</v>
      </c>
    </row>
    <row r="4506" spans="1:1">
      <c r="A4506" s="264" t="s">
        <v>1700</v>
      </c>
    </row>
    <row r="4507" spans="1:1">
      <c r="A4507" s="264" t="s">
        <v>1752</v>
      </c>
    </row>
    <row r="4508" spans="1:1">
      <c r="A4508" s="264" t="s">
        <v>1701</v>
      </c>
    </row>
    <row r="4509" spans="1:1">
      <c r="A4509" s="264" t="s">
        <v>978</v>
      </c>
    </row>
    <row r="4510" spans="1:1">
      <c r="A4510" s="264" t="s">
        <v>1394</v>
      </c>
    </row>
    <row r="4511" spans="1:1">
      <c r="A4511" s="264" t="s">
        <v>1753</v>
      </c>
    </row>
    <row r="4512" spans="1:1">
      <c r="A4512" s="264" t="s">
        <v>1702</v>
      </c>
    </row>
    <row r="4513" spans="1:1">
      <c r="A4513" s="264" t="s">
        <v>1754</v>
      </c>
    </row>
    <row r="4514" spans="1:1">
      <c r="A4514" s="264" t="s">
        <v>1182</v>
      </c>
    </row>
    <row r="4515" spans="1:1">
      <c r="A4515" s="264" t="s">
        <v>1703</v>
      </c>
    </row>
    <row r="4516" spans="1:1">
      <c r="A4516" s="264" t="s">
        <v>979</v>
      </c>
    </row>
    <row r="4517" spans="1:1">
      <c r="A4517" s="264" t="s">
        <v>980</v>
      </c>
    </row>
    <row r="4518" spans="1:1">
      <c r="A4518" s="264" t="s">
        <v>1704</v>
      </c>
    </row>
    <row r="4519" spans="1:1">
      <c r="A4519" s="264" t="s">
        <v>1395</v>
      </c>
    </row>
    <row r="4520" spans="1:1">
      <c r="A4520" s="264" t="s">
        <v>1705</v>
      </c>
    </row>
    <row r="4521" spans="1:1">
      <c r="A4521" s="264" t="s">
        <v>1706</v>
      </c>
    </row>
    <row r="4522" spans="1:1">
      <c r="A4522" s="264" t="s">
        <v>1707</v>
      </c>
    </row>
    <row r="4523" spans="1:1">
      <c r="A4523" s="264" t="s">
        <v>1708</v>
      </c>
    </row>
    <row r="4524" spans="1:1">
      <c r="A4524" s="264" t="s">
        <v>1709</v>
      </c>
    </row>
    <row r="4525" spans="1:1">
      <c r="A4525" s="264" t="s">
        <v>1396</v>
      </c>
    </row>
    <row r="4526" spans="1:1">
      <c r="A4526" s="264" t="s">
        <v>1710</v>
      </c>
    </row>
    <row r="4527" spans="1:1">
      <c r="A4527" s="264" t="s">
        <v>1397</v>
      </c>
    </row>
    <row r="4528" spans="1:1">
      <c r="A4528" s="264" t="s">
        <v>1711</v>
      </c>
    </row>
    <row r="4529" spans="1:1">
      <c r="A4529" s="264" t="s">
        <v>1712</v>
      </c>
    </row>
    <row r="4530" spans="1:1">
      <c r="A4530" s="264" t="s">
        <v>1713</v>
      </c>
    </row>
    <row r="4531" spans="1:1">
      <c r="A4531" s="264" t="s">
        <v>1714</v>
      </c>
    </row>
    <row r="4532" spans="1:1">
      <c r="A4532" s="264" t="s">
        <v>1715</v>
      </c>
    </row>
    <row r="4533" spans="1:1">
      <c r="A4533" s="264" t="s">
        <v>1755</v>
      </c>
    </row>
    <row r="4534" spans="1:1">
      <c r="A4534" s="264" t="s">
        <v>1398</v>
      </c>
    </row>
    <row r="4535" spans="1:1">
      <c r="A4535" s="264" t="s">
        <v>1716</v>
      </c>
    </row>
    <row r="4536" spans="1:1">
      <c r="A4536" s="264" t="s">
        <v>1717</v>
      </c>
    </row>
    <row r="4537" spans="1:1">
      <c r="A4537" s="264" t="s">
        <v>1718</v>
      </c>
    </row>
    <row r="4538" spans="1:1">
      <c r="A4538" s="264" t="s">
        <v>1756</v>
      </c>
    </row>
    <row r="4539" spans="1:1">
      <c r="A4539" s="264" t="s">
        <v>1399</v>
      </c>
    </row>
    <row r="4540" spans="1:1">
      <c r="A4540" s="264" t="s">
        <v>1719</v>
      </c>
    </row>
    <row r="4541" spans="1:1">
      <c r="A4541" s="264" t="s">
        <v>1720</v>
      </c>
    </row>
    <row r="4542" spans="1:1">
      <c r="A4542" s="264" t="s">
        <v>1757</v>
      </c>
    </row>
    <row r="4543" spans="1:1">
      <c r="A4543" s="264" t="s">
        <v>1721</v>
      </c>
    </row>
    <row r="4544" spans="1:1">
      <c r="A4544" s="264" t="s">
        <v>1758</v>
      </c>
    </row>
    <row r="4545" spans="1:1">
      <c r="A4545" s="264" t="s">
        <v>1722</v>
      </c>
    </row>
    <row r="4546" spans="1:1">
      <c r="A4546" s="264" t="s">
        <v>1723</v>
      </c>
    </row>
    <row r="4547" spans="1:1">
      <c r="A4547" s="264" t="s">
        <v>1400</v>
      </c>
    </row>
    <row r="4548" spans="1:1">
      <c r="A4548" s="264" t="s">
        <v>1724</v>
      </c>
    </row>
    <row r="4549" spans="1:1">
      <c r="A4549" s="264" t="s">
        <v>1725</v>
      </c>
    </row>
    <row r="4550" spans="1:1">
      <c r="A4550" s="264" t="s">
        <v>1401</v>
      </c>
    </row>
    <row r="4551" spans="1:1">
      <c r="A4551" s="264" t="s">
        <v>981</v>
      </c>
    </row>
    <row r="4552" spans="1:1">
      <c r="A4552" s="264" t="s">
        <v>1726</v>
      </c>
    </row>
    <row r="4553" spans="1:1">
      <c r="A4553" s="264" t="s">
        <v>1727</v>
      </c>
    </row>
    <row r="4554" spans="1:1">
      <c r="A4554" s="264" t="s">
        <v>1728</v>
      </c>
    </row>
    <row r="4555" spans="1:1">
      <c r="A4555" s="264" t="s">
        <v>1729</v>
      </c>
    </row>
    <row r="4556" spans="1:1">
      <c r="A4556" s="264" t="s">
        <v>1402</v>
      </c>
    </row>
    <row r="4557" spans="1:1">
      <c r="A4557" s="264" t="s">
        <v>1730</v>
      </c>
    </row>
    <row r="4558" spans="1:1">
      <c r="A4558" s="264" t="s">
        <v>1731</v>
      </c>
    </row>
    <row r="4559" spans="1:1">
      <c r="A4559" s="264" t="s">
        <v>1403</v>
      </c>
    </row>
    <row r="4560" spans="1:1">
      <c r="A4560" s="264" t="s">
        <v>1732</v>
      </c>
    </row>
    <row r="4561" spans="1:1">
      <c r="A4561" s="264" t="s">
        <v>1130</v>
      </c>
    </row>
    <row r="4562" spans="1:1">
      <c r="A4562" s="264" t="s">
        <v>1129</v>
      </c>
    </row>
    <row r="4563" spans="1:1">
      <c r="A4563" s="264"/>
    </row>
    <row r="4564" spans="1:1">
      <c r="A4564" s="264" t="s">
        <v>1759</v>
      </c>
    </row>
  </sheetData>
  <dataValidations count="17">
    <dataValidation type="decimal" allowBlank="1" showInputMessage="1" showErrorMessage="1" sqref="B350:J350 B329:E337 B305:D308 B296:D300 B283:D291 D267">
      <formula1>0</formula1>
      <formula2>1</formula2>
    </dataValidation>
    <dataValidation type="decimal" operator="greaterThanOrEqual" allowBlank="1" showInputMessage="1" showErrorMessage="1" sqref="B343 B322:D322 B315:D315 E267 B267:C267 B262 B94:I94 B63:F63 B58:I58 B46:B53">
      <formula1>0</formula1>
    </dataValidation>
    <dataValidation type="decimal" operator="greaterThanOrEqual" allowBlank="1" showInputMessage="1" showErrorMessage="1" errorTitle="Invalid customer contribution" error="The customer contribution must be a non-negative percentage value." sqref="B275:I278">
      <formula1>0</formula1>
    </dataValidation>
    <dataValidation type="decimal" operator="greaterThanOrEqual" allowBlank="1" showInputMessage="1" showErrorMessage="1" errorTitle="Volume data error" error="The volume must be a non-negative number." sqref="B256:H256 B253:H254 B251:H251 B248:H249 B246:H246 B243:H244 B241:H241 B238:H239 B236:H236 B232:H234 B230:H230 B226:H228 B223:H224 B219:H221 B215:H217 B211:H213 B207:H209 B203:H205 B199:H201 B196:H197 B193:H194 B189:H191 B185:H187 B181:H183 B179:H179 B177:H177 B173:H175 B169:H171 B165:H167 B161:H163 B157:H159 B153:H155 B149:H151">
      <formula1>0</formula1>
    </dataValidation>
    <dataValidation type="textLength" operator="equal" allowBlank="1" showInputMessage="1" showErrorMessage="1" error="This cell should remain blank." sqref="B255:H255 B252:H252 B250:H250 B247:H247 B245:H245 B242:H242 B240:H240 B237:H237 B235:H235 B231:H231 B229:H229 B225:H225 B222:H222 B218:H218 B214:H214 B210:H210 B206:H206 B202:H202 B198:H198 B195:H195 B192:H192 B188:H188 B184:H184 B180:H180 B178:H178 B176:H176 B172:H172 B168:H168 B164:H164 B160:H160 B156:H156 B152:H152 B148:H148">
      <formula1>0</formula1>
    </dataValidation>
    <dataValidation type="decimal" allowBlank="1" showInputMessage="1" showErrorMessage="1" error="The load factor must be between 0% and 100%." sqref="C122:C140">
      <formula1>0</formula1>
      <formula2>1</formula2>
    </dataValidation>
    <dataValidation type="decimal" allowBlank="1" showInputMessage="1" showErrorMessage="1" error="The coincidence factor must be between 0% and 100%." sqref="B122:B140">
      <formula1>0</formula1>
      <formula2>1</formula2>
    </dataValidation>
    <dataValidation type="decimal" allowBlank="1" showInputMessage="1" showErrorMessage="1" error="The LDNO discount must be between 0% and 100%." sqref="B116:F116">
      <formula1>0</formula1>
      <formula2>1</formula2>
    </dataValidation>
    <dataValidation type="decimal" operator="greaterThan" allowBlank="1" showInputMessage="1" showErrorMessage="1" sqref="B110:H110">
      <formula1>0</formula1>
    </dataValidation>
    <dataValidation type="decimal" allowBlank="1" showInputMessage="1" showErrorMessage="1" error="The number in this cell must be between 0% and 100%." sqref="B99:F104 B68:I87">
      <formula1>0</formula1>
      <formula2>1</formula2>
    </dataValidation>
    <dataValidation type="decimal" allowBlank="1" showInputMessage="1" showErrorMessage="1" sqref="B41">
      <formula1>0.001</formula1>
      <formula2>999999.999</formula2>
    </dataValidation>
    <dataValidation type="decimal" allowBlank="1" showInputMessage="1" showErrorMessage="1" error="The proportion of load going through 132kV/HV must be between 0% and 100%." sqref="B36">
      <formula1>0</formula1>
      <formula2>1</formula2>
    </dataValidation>
    <dataValidation type="decimal" allowBlank="1" showInputMessage="1" showErrorMessage="1" error="Must be a non-negative percentage value." sqref="B24:B31">
      <formula1>0</formula1>
      <formula2>4</formula2>
    </dataValidation>
    <dataValidation type="decimal" allowBlank="1" showInputMessage="1" showErrorMessage="1" sqref="F14">
      <formula1>365</formula1>
      <formula2>366</formula2>
    </dataValidation>
    <dataValidation type="decimal" allowBlank="1" showInputMessage="1" showErrorMessage="1" sqref="E14">
      <formula1>0.001</formula1>
      <formula2>1</formula2>
    </dataValidation>
    <dataValidation type="decimal" allowBlank="1" showInputMessage="1" showErrorMessage="1" sqref="C14">
      <formula1>0</formula1>
      <formula2>999999</formula2>
    </dataValidation>
    <dataValidation type="decimal" allowBlank="1" showInputMessage="1" showErrorMessage="1" error="The rate of return must be a non-negative percentage value." sqref="B14">
      <formula1>0</formula1>
      <formula2>4</formula2>
    </dataValidation>
  </dataValidations>
  <hyperlinks>
    <hyperlink ref="A358" location="'CDCM'!B364" display="x1 = Network level for each tariff (to get loss factors applicable to capacity) (in Loss adjustment factors to transmission)"/>
    <hyperlink ref="A359" location="'CDCM'!B109" display="x2 = 1032. Loss adjustment factors to transmission"/>
    <hyperlink ref="A413" location="'CDCM'!B401" display="x1 = 2002. Mapping of DRM network levels to core network levels"/>
    <hyperlink ref="A414" location="'CDCM'!B109" display="x2 = 1032. Loss adjustment factors to transmission"/>
    <hyperlink ref="A429" location="'CDCM'!B417" display="x1 = 2003. Loss adjustment factor to transmission for each DRM network level"/>
    <hyperlink ref="A478" location="'CDCM'!B35" display="x1 = 1018. Proportion of relevant load going through 132kV/HV direct transformation"/>
    <hyperlink ref="A486" location="'CDCM'!B35" display="x1 = 1018. Proportion of relevant load going through 132kV/HV direct transformation"/>
    <hyperlink ref="A494" location="'CDCM'!B35" display="x1 = 1018. Proportion of relevant load going through 132kV/HV direct transformation"/>
    <hyperlink ref="A502" location="'CDCM'!B35" display="x1 = 1018. Proportion of relevant load going through 132kV/HV direct transformation"/>
    <hyperlink ref="A503" location="'CDCM'!B481" display="x2 = 2006. Proportion going through 132kV/EHV"/>
    <hyperlink ref="A504" location="'CDCM'!B489" display="x3 = 2007. Proportion going through EHV"/>
    <hyperlink ref="A505" location="'CDCM'!B497" display="x4 = 2008. Proportion going through EHV/HV"/>
    <hyperlink ref="A523" location="'CDCM'!B441" display="x1 = 2005. Network use factors"/>
    <hyperlink ref="A524" location="'CDCM'!B510" display="x2 = 2009. Rerouteing matrix for all network levels"/>
    <hyperlink ref="A566" location="'CDCM'!B527" display="x3 = 2010. Network use factors: interim step in calculations before adjustments"/>
    <hyperlink ref="A606" location="'CDCM'!B433" display="x1 = 2004. Loss adjustment factor to transmission for each network level"/>
    <hyperlink ref="A607" location="'CDCM'!B569" display="x2 = 2011. Network use factors for all tariffs"/>
    <hyperlink ref="A608" location="'CDCM'!I364" display="x3 = 2001. Loss adjustment factor to transmission (in Loss adjustment factors to transmission)"/>
    <hyperlink ref="A651" location="'CDCM'!B13" display="x1 = 1010. Rate of return (in Financial and general assumptions)"/>
    <hyperlink ref="A652" location="'CDCM'!C13" display="x2 = 1010. Annualisation period (years) (in Financial and general assumptions)"/>
    <hyperlink ref="A653" location="'CDCM'!F13" display="x3 = 1010. Days in the charging year (in Financial and general assumptions)"/>
    <hyperlink ref="A661" location="'CDCM'!B109" display="x1 = 1032. Loss adjustment factors to transmission"/>
    <hyperlink ref="A670" location="'CDCM'!B665" display="x1 = 2102. Loss adjustment factor to transmission for each core level"/>
    <hyperlink ref="A671" location="'CDCM'!B675" display="x2 = Loss adjustment factor to transmission for network level exit (in Loss adjustment factors)"/>
    <hyperlink ref="A687" location="'CDCM'!B23" display="x1 = 1017. Diversity allowance between top and bottom of network level"/>
    <hyperlink ref="A688" location="'CDCM'!C692" display="x2 = Coincidence to system peak at level exit (in Diversity calculations)"/>
    <hyperlink ref="A704" location="'CDCM'!B40" display="x1 = 1019. Network model GSP peak demand (MW)"/>
    <hyperlink ref="A705" location="'CDCM'!B692" display="x2 = 2104. Coincidence to GSP peak at level exit (in Diversity calculations)"/>
    <hyperlink ref="A719" location="'CDCM'!B708" display="x1 = 2105. Network model total maximum demand at substation (MW)"/>
    <hyperlink ref="A720" location="'CDCM'!C692" display="x2 = 2104. Coincidence to system peak at level exit (in Diversity calculations)"/>
    <hyperlink ref="A721" location="'CDCM'!B675" display="x3 = 2103. Loss adjustment factor to transmission for network level exit (in Loss adjustment factors)"/>
    <hyperlink ref="A735" location="'CDCM'!B35" display="x1 = 1018. Proportion of relevant load going through 132kV/HV direct transformation"/>
    <hyperlink ref="A736" location="'CDCM'!B481" display="x2 = 2006. Proportion going through 132kV/EHV"/>
    <hyperlink ref="A737" location="'CDCM'!B489" display="x3 = 2007. Proportion going through EHV"/>
    <hyperlink ref="A738" location="'CDCM'!B497" display="x4 = 2008. Proportion going through EHV/HV"/>
    <hyperlink ref="A753" location="'CDCM'!B724" display="x1 = 2106. Network model contribution to system maximum load measured at network level exit (MW)"/>
    <hyperlink ref="A754" location="'CDCM'!B742" display="x2 = 2107. Rerouteing matrix for DRM network levels"/>
    <hyperlink ref="A769" location="'CDCM'!B757" display="x1 = 2108. GSP simultaneous maximum load assumed through each network level (MW)"/>
    <hyperlink ref="A770" location="'CDCM'!B45" display="x2 = 1020. Gross asset cost by network level (£)"/>
    <hyperlink ref="A771" location="'CDCM'!B656" display="x3 = 2101. Annuity rate"/>
    <hyperlink ref="A789" location="'CDCM'!B67" display="x1 = 1025. Matrix of applicability of LV service models to tariffs with fixed charges"/>
    <hyperlink ref="A790" location="'CDCM'!B57" display="x2 = 1022. LV service model asset cost (£)"/>
    <hyperlink ref="A817" location="'CDCM'!B93" display="x1 = 1026. Matrix of applicability of LV service models to unmetered tariffs"/>
    <hyperlink ref="A818" location="'CDCM'!B57" display="x2 = 1022. LV service model asset cost (£)"/>
    <hyperlink ref="A826" location="'CDCM'!D13" display="x1 = 1010. Annuity proportion for customer-contributed assets (in Financial and general assumptions)"/>
    <hyperlink ref="A827" location="'CDCM'!B821" display="x2 = 2202. LV unmetered service model assets £/(MWh/year)"/>
    <hyperlink ref="A828" location="'CDCM'!B656" display="x3 = 2101. Annuity rate"/>
    <hyperlink ref="A836" location="'CDCM'!B98" display="x1 = 1028. Matrix of applicability of HV service models to tariffs with fixed charges"/>
    <hyperlink ref="A837" location="'CDCM'!B62" display="x2 = 1023. HV service model asset cost (£)"/>
    <hyperlink ref="A850" location="'CDCM'!B793" display="x1 = 2201. Asset £/customer from LV service models"/>
    <hyperlink ref="A851" location="'CDCM'!B840" display="x2 = 2204. Asset £/customer from HV service models"/>
    <hyperlink ref="A891" location="'CDCM'!F13" display="x1 = 1010. Days in the charging year (in Financial and general assumptions)"/>
    <hyperlink ref="A892" location="'CDCM'!B854" display="x2 = 2205. Service model assets by tariff (£)"/>
    <hyperlink ref="A893" location="'CDCM'!B656" display="x3 = 2101. Annuity rate"/>
    <hyperlink ref="A894" location="'CDCM'!D13" display="x4 = 1010. Annuity proportion for customer-contributed assets (in Financial and general assumptions)"/>
    <hyperlink ref="A895" location="'CDCM'!B900" display="x5 = Service model p/MPAN/day charge (in Replacement annuities for service models)"/>
    <hyperlink ref="A948" location="'CDCM'!B121" display="x1 = 1041. Coincidence factor to system maximum load for each type of demand user (in Load profile data for demand users)"/>
    <hyperlink ref="A949" location="'CDCM'!C121" display="x2 = 1041. Load factor for each type of demand user (in Load profile data for demand users)"/>
    <hyperlink ref="A975" location="'CDCM'!B952" display="x1 = 2301. Demand coefficient (load at time of system maximum load divided by average load)"/>
    <hyperlink ref="A1129" location="'CDCM'!B1016" display="x1 = 2303. Discount map"/>
    <hyperlink ref="A1130" location="'CDCM'!B115" display="x2 = 1037. Embedded network (LDNO) discounts"/>
    <hyperlink ref="A1132" location="'CDCM'!B1144" display="x4 = Discount for each tariff (except for fixed charges) (in LDNO discounts and volumes adjusted for discount)"/>
    <hyperlink ref="A1133" location="'CDCM'!B147" display="x5 = 1053. Rate 1 units (MWh) by tariff (in Volume forecasts for the charging year)"/>
    <hyperlink ref="A1134" location="'CDCM'!C147" display="x6 = 1053. Rate 2 units (MWh) by tariff (in Volume forecasts for the charging year)"/>
    <hyperlink ref="A1135" location="'CDCM'!D147" display="x7 = 1053. Rate 3 units (MWh) by tariff (in Volume forecasts for the charging year)"/>
    <hyperlink ref="A1136" location="'CDCM'!E147" display="x8 = 1053. MPANs by tariff (in Volume forecasts for the charging year)"/>
    <hyperlink ref="A1137" location="'CDCM'!C1144" display="x9 = Discount for each tariff for fixed charges only (in LDNO discounts and volumes adjusted for discount)"/>
    <hyperlink ref="A1138" location="'CDCM'!F147" display="x10 = 1053. Import capacity (kVA) by tariff (in Volume forecasts for the charging year)"/>
    <hyperlink ref="A1139" location="'CDCM'!G147" display="x11 = 1053. Exceeded capacity (kVA) by tariff (in Volume forecasts for the charging year)"/>
    <hyperlink ref="A1140" location="'CDCM'!H147" display="x12 = 1053. Reactive power units (MVArh) by tariff (in Volume forecasts for the charging year)"/>
    <hyperlink ref="A1257" location="'CDCM'!D1144" display="x1 = 2304. Rate 1 units (MWh) (in LDNO discounts and volumes adjusted for discount)"/>
    <hyperlink ref="A1258" location="'CDCM'!E1144" display="x2 = 2304. Rate 2 units (MWh) (in LDNO discounts and volumes adjusted for discount)"/>
    <hyperlink ref="A1259" location="'CDCM'!F1144" display="x3 = 2304. Rate 3 units (MWh) (in LDNO discounts and volumes adjusted for discount)"/>
    <hyperlink ref="A1260" location="'CDCM'!G1144" display="x4 = 2304. MPANs (in LDNO discounts and volumes adjusted for discount)"/>
    <hyperlink ref="A1261" location="'CDCM'!H1144" display="x5 = 2304. Import capacity (kVA) (in LDNO discounts and volumes adjusted for discount)"/>
    <hyperlink ref="A1262" location="'CDCM'!I1144" display="x6 = 2304. Exceeded capacity (kVA) (in LDNO discounts and volumes adjusted for discount)"/>
    <hyperlink ref="A1263" location="'CDCM'!J1144" display="x7 = 2304. Reactive power units (MVArh) (in LDNO discounts and volumes adjusted for discount)"/>
    <hyperlink ref="A1306" location="'CDCM'!B321" display="x1 = 1068. Typical annual hours by distribution time band"/>
    <hyperlink ref="A1307" location="'CDCM'!F13" display="x2 = 1010. Days in the charging year (in Financial and general assumptions)"/>
    <hyperlink ref="A1308" location="'CDCM'!B1313" display="x3 = Total hours in the year according to time band hours input data (in Adjust annual hours by distribution time band to match days in year)"/>
    <hyperlink ref="A1318" location="'CDCM'!B282" display="x1 = 1061. Average split of rate 1 units by distribution time band"/>
    <hyperlink ref="A1319" location="'CDCM'!B1326" display="x2 = Total split (in Normalisation of split of rate 1 units by time band)"/>
    <hyperlink ref="A1320" location="'CDCM'!C1313" display="x3 = 2401. Annual hours by distribution time band (reconciled to days in year) (in Adjust annual hours by distribution time band to match days in year)"/>
    <hyperlink ref="A1321" location="'CDCM'!F13" display="x4 = 1010. Days in the charging year (in Financial and general assumptions)"/>
    <hyperlink ref="A1339" location="'CDCM'!C1326" display="x1 = 2402. Normalised split of rate 1 units by distribution time band (in Normalisation of split of rate 1 units by time band)"/>
    <hyperlink ref="A1367" location="'CDCM'!B295" display="x1 = 1062. Average split of rate 2 units by distribution time band"/>
    <hyperlink ref="A1368" location="'CDCM'!B1375" display="x2 = Total split (in Normalisation of split of rate 2 units by time band)"/>
    <hyperlink ref="A1369" location="'CDCM'!C1313" display="x3 = 2401. Annual hours by distribution time band (reconciled to days in year) (in Adjust annual hours by distribution time band to match days in year)"/>
    <hyperlink ref="A1370" location="'CDCM'!F13" display="x4 = 1010. Days in the charging year (in Financial and general assumptions)"/>
    <hyperlink ref="A1384" location="'CDCM'!C1375" display="x1 = 2404. Normalised split of rate 2 units by distribution time band (in Normalisation of split of rate 2 units by time band)"/>
    <hyperlink ref="A1423" location="'CDCM'!B1267" display="x1 = 2305. Rate 1 units (MWh) (in Equivalent volume for each end user)"/>
    <hyperlink ref="A1424" location="'CDCM'!C1267" display="x2 = 2305. Rate 2 units (MWh) (in Equivalent volume for each end user)"/>
    <hyperlink ref="A1425" location="'CDCM'!D1267" display="x3 = 2305. Rate 3 units (MWh) (in Equivalent volume for each end user)"/>
    <hyperlink ref="A1465" location="'CDCM'!B1428" display="x1 = 2407. All units (MWh)"/>
    <hyperlink ref="A1466" location="'CDCM'!B1267" display="x2 = 2305. Rate 1 units (MWh) (in Equivalent volume for each end user)"/>
    <hyperlink ref="A1467" location="'CDCM'!B1343" display="x3 = 2403. Split of rate 1 units between distribution time bands"/>
    <hyperlink ref="A1468" location="'CDCM'!C1313" display="x4 = 2401. Annual hours by distribution time band (reconciled to days in year) (in Adjust annual hours by distribution time band to match days in year)"/>
    <hyperlink ref="A1469" location="'CDCM'!B1475" display="x5 = Use of distribution time bands by units in demand forecast for one-rate tariffs (in Calculation of implied load coefficients for one-rate users)"/>
    <hyperlink ref="A1470" location="'CDCM'!F13" display="x6 = 1010. Days in the charging year (in Financial and general assumptions)"/>
    <hyperlink ref="A1481" location="'CDCM'!B1428" display="x1 = 2407. All units (MWh)"/>
    <hyperlink ref="A1482" location="'CDCM'!B1267" display="x2 = 2305. Rate 1 units (MWh) (in Equivalent volume for each end user)"/>
    <hyperlink ref="A1483" location="'CDCM'!B1343" display="x3 = 2403. Split of rate 1 units between distribution time bands"/>
    <hyperlink ref="A1484" location="'CDCM'!C1267" display="x4 = 2305. Rate 2 units (MWh) (in Equivalent volume for each end user)"/>
    <hyperlink ref="A1485" location="'CDCM'!B1388" display="x5 = 2405. Split of rate 2 units between distribution time bands"/>
    <hyperlink ref="A1486" location="'CDCM'!C1313" display="x6 = 2401. Annual hours by distribution time band (reconciled to days in year) (in Adjust annual hours by distribution time band to match days in year)"/>
    <hyperlink ref="A1487" location="'CDCM'!B1493" display="x7 = Use of distribution time bands by units in demand forecast for two-rate tariffs (in Calculation of implied load coefficients for two-rate users)"/>
    <hyperlink ref="A1488" location="'CDCM'!F13" display="x8 = 1010. Days in the charging year (in Financial and general assumptions)"/>
    <hyperlink ref="A1502" location="'CDCM'!B1428" display="x1 = 2407. All units (MWh)"/>
    <hyperlink ref="A1503" location="'CDCM'!B1267" display="x2 = 2305. Rate 1 units (MWh) (in Equivalent volume for each end user)"/>
    <hyperlink ref="A1504" location="'CDCM'!B1343" display="x3 = 2403. Split of rate 1 units between distribution time bands"/>
    <hyperlink ref="A1505" location="'CDCM'!C1267" display="x4 = 2305. Rate 2 units (MWh) (in Equivalent volume for each end user)"/>
    <hyperlink ref="A1506" location="'CDCM'!B1388" display="x5 = 2405. Split of rate 2 units between distribution time bands"/>
    <hyperlink ref="A1507" location="'CDCM'!D1267" display="x6 = 2305. Rate 3 units (MWh) (in Equivalent volume for each end user)"/>
    <hyperlink ref="A1508" location="'CDCM'!B1408" display="x7 = 2406. Split of rate 3 units between distribution time bands (default)"/>
    <hyperlink ref="A1509" location="'CDCM'!C1313" display="x8 = 2401. Annual hours by distribution time band (reconciled to days in year) (in Adjust annual hours by distribution time band to match days in year)"/>
    <hyperlink ref="A1510" location="'CDCM'!B1516" display="x9 = Use of distribution time bands by units in demand forecast for three-rate tariffs (in Calculation of implied load coefficients for three-rate users)"/>
    <hyperlink ref="A1511" location="'CDCM'!F13" display="x10 = 1010. Days in the charging year (in Financial and general assumptions)"/>
    <hyperlink ref="A1525" location="'CDCM'!E1475" display="x1 = 2408. Peak band load coefficient for one-rate tariffs (in Calculation of implied load coefficients for one-rate users)"/>
    <hyperlink ref="A1526" location="'CDCM'!E1493" display="x2 = 2409. Peak band load coefficient for two-rate tariffs (in Calculation of implied load coefficients for two-rate users)"/>
    <hyperlink ref="A1527" location="'CDCM'!E1516" display="x3 = 2410. Peak band load coefficient for three-rate tariffs (in Calculation of implied load coefficients for three-rate users)"/>
    <hyperlink ref="A1528" location="'CDCM'!B1533" display="x4 = Peak band load coefficient (in Calculation of adjusted time band load coefficients)"/>
    <hyperlink ref="A1529" location="'CDCM'!B979" display="x5 = 2302. Load coefficient"/>
    <hyperlink ref="A1557" location="'CDCM'!B328" display="x1 = 1069. Red, amber and green peaking probabilities (in Peaking probabilities by network level)"/>
    <hyperlink ref="A1558" location="'CDCM'!B1565" display="x2 = Total probability (should be 100%) (in Normalisation of peaking probabilities)"/>
    <hyperlink ref="A1559" location="'CDCM'!B321" display="x3 = 1068. Typical annual hours by distribution time band"/>
    <hyperlink ref="A1560" location="'CDCM'!B1313" display="x4 = 2401. Total hours in the year according to time band hours input data (in Adjust annual hours by distribution time band to match days in year)"/>
    <hyperlink ref="A1578" location="'CDCM'!C1565" display="x1 = 2412. Normalised peaking probabilities (in Normalisation of peaking probabilities)"/>
    <hyperlink ref="A1586" location="'CDCM'!C1313" display="x1 = 2401. Annual hours by distribution time band (reconciled to days in year) (in Adjust annual hours by distribution time band to match days in year)"/>
    <hyperlink ref="A1587" location="'CDCM'!C1533" display="x2 = 2411. Load coefficient correction factor (kW at peak in band / band average kW) (in Calculation of adjusted time band load coefficients)"/>
    <hyperlink ref="A1588" location="'CDCM'!B1581" display="x3 = 2413. Peaking probabilities by network level (reshaped)"/>
    <hyperlink ref="A1589" location="'CDCM'!F13" display="x4 = 1010. Days in the charging year (in Financial and general assumptions)"/>
    <hyperlink ref="A1616" location="'CDCM'!B1592" display="x1 = 2414. Pseudo load coefficient by time band and network level"/>
    <hyperlink ref="A1625" location="'CDCM'!B1428" display="x1 = 2407. All units (MWh)"/>
    <hyperlink ref="A1634" location="'CDCM'!B1343" display="x1 = 2403. Split of rate 1 units between distribution time bands"/>
    <hyperlink ref="A1643" location="'CDCM'!B1619" display="x1 = 2415. Single rate non half hourly pseudo timeband load coefficients"/>
    <hyperlink ref="A1644" location="'CDCM'!B1637" display="x2 = 2417. Single rate non half hourly timeband use"/>
    <hyperlink ref="A1653" location="'CDCM'!B1428" display="x1 = 2407. All units (MWh)"/>
    <hyperlink ref="A1662" location="'CDCM'!B1592" display="x1 = 2414. Pseudo load coefficient by time band and network level"/>
    <hyperlink ref="A1671" location="'CDCM'!B1493" display="x1 = 2409. Use of distribution time bands by units in demand forecast for two-rate tariffs (in Calculation of implied load coefficients for two-rate users)"/>
    <hyperlink ref="A1680" location="'CDCM'!B1665" display="x1 = 2420. Multi rate non half hourly pseudo timeband load coefficients"/>
    <hyperlink ref="A1681" location="'CDCM'!B1674" display="x2 = 2421. Multi rate non half hourly timeband use"/>
    <hyperlink ref="A1690" location="'CDCM'!B1428" display="x1 = 2407. All units (MWh)"/>
    <hyperlink ref="A1699" location="'CDCM'!B1592" display="x1 = 2414. Pseudo load coefficient by time band and network level"/>
    <hyperlink ref="A1708" location="'CDCM'!B1343" display="x1 = 2403. Split of rate 1 units between distribution time bands"/>
    <hyperlink ref="A1717" location="'CDCM'!B1702" display="x1 = 2424. Off-peak non half hourly pseudo timeband load coefficients"/>
    <hyperlink ref="A1718" location="'CDCM'!B1711" display="x2 = 2425. Off-peak non half hourly timeband use"/>
    <hyperlink ref="A1727" location="'CDCM'!B1428" display="x1 = 2407. All units (MWh)"/>
    <hyperlink ref="A1736" location="'CDCM'!B1592" display="x1 = 2414. Pseudo load coefficient by time band and network level"/>
    <hyperlink ref="A1745" location="'CDCM'!B1516" display="x1 = 2410. Use of distribution time bands by units in demand forecast for three-rate tariffs (in Calculation of implied load coefficients for three-rate users)"/>
    <hyperlink ref="A1754" location="'CDCM'!B1739" display="x1 = 2428. Aggregated half hourly pseudo timeband load coefficients"/>
    <hyperlink ref="A1755" location="'CDCM'!B1748" display="x2 = 2429. Aggregated half hourly timeband use"/>
    <hyperlink ref="A1764" location="'CDCM'!B1628" display="x1 = 2416. Single rate non half hourly units (MWh)"/>
    <hyperlink ref="A1765" location="'CDCM'!B1647" display="x2 = 2418. Single rate non half hourly tariff pseudo load coefficient"/>
    <hyperlink ref="A1766" location="'CDCM'!B1656" display="x3 = 2419. Multi rate non half hourly units (MWh)"/>
    <hyperlink ref="A1767" location="'CDCM'!B1684" display="x4 = 2422. Multi rate non half hourly tariff pseudo load coefficient"/>
    <hyperlink ref="A1768" location="'CDCM'!B1693" display="x5 = 2423. Off-peak non half hourly units (MWh)"/>
    <hyperlink ref="A1769" location="'CDCM'!B1721" display="x6 = 2426. Off-peak non half hourly tariff pseudo load coefficient"/>
    <hyperlink ref="A1778" location="'CDCM'!B1628" display="x1 = 2416. Single rate non half hourly units (MWh)"/>
    <hyperlink ref="A1779" location="'CDCM'!B1637" display="x2 = 2417. Single rate non half hourly timeband use"/>
    <hyperlink ref="A1780" location="'CDCM'!B1656" display="x3 = 2419. Multi rate non half hourly units (MWh)"/>
    <hyperlink ref="A1781" location="'CDCM'!B1674" display="x4 = 2421. Multi rate non half hourly timeband use"/>
    <hyperlink ref="A1782" location="'CDCM'!B1693" display="x5 = 2423. Off-peak non half hourly units (MWh)"/>
    <hyperlink ref="A1783" location="'CDCM'!B1711" display="x6 = 2425. Off-peak non half hourly timeband use"/>
    <hyperlink ref="A1792" location="'CDCM'!B1739" display="x1 = 2428. Aggregated half hourly pseudo timeband load coefficients"/>
    <hyperlink ref="A1793" location="'CDCM'!B1786" display="x2 = 2432. Average non half hourly timeband use"/>
    <hyperlink ref="A1802" location="'CDCM'!B1772" display="x1 = 2431. Average non half hourly tariff pseudo load coefficient"/>
    <hyperlink ref="A1803" location="'CDCM'!B1796" display="x2 = 2433. Aggregated half hourly tariff pseudo load coefficient using average non half hourly unit mix"/>
    <hyperlink ref="A1812" location="'CDCM'!B1628" display="x1 = 2416. Single rate non half hourly units (MWh)"/>
    <hyperlink ref="A1813" location="'CDCM'!B1647" display="x2 = 2418. Single rate non half hourly tariff pseudo load coefficient"/>
    <hyperlink ref="A1814" location="'CDCM'!B1656" display="x3 = 2419. Multi rate non half hourly units (MWh)"/>
    <hyperlink ref="A1815" location="'CDCM'!B1684" display="x4 = 2422. Multi rate non half hourly tariff pseudo load coefficient"/>
    <hyperlink ref="A1816" location="'CDCM'!B1693" display="x5 = 2423. Off-peak non half hourly units (MWh)"/>
    <hyperlink ref="A1817" location="'CDCM'!B1721" display="x6 = 2426. Off-peak non half hourly tariff pseudo load coefficient"/>
    <hyperlink ref="A1818" location="'CDCM'!B1730" display="x7 = 2427. Aggregated half hourly units (MWh)"/>
    <hyperlink ref="A1819" location="'CDCM'!B1758" display="x8 = 2430. Aggregated half hourly tariff pseudo load coefficient"/>
    <hyperlink ref="A1820" location="'CDCM'!B1806" display="x9 = 2434. Relative correction factor for aggregated half hourly tariff"/>
    <hyperlink ref="A1829" location="'CDCM'!B1619" display="x1 = 2415. Single rate non half hourly pseudo timeband load coefficients"/>
    <hyperlink ref="A1830" location="'CDCM'!B1823" display="x2 = 2435. Correction factor for non half hourly tariffs"/>
    <hyperlink ref="A1839" location="'CDCM'!B1665" display="x1 = 2420. Multi rate non half hourly pseudo timeband load coefficients"/>
    <hyperlink ref="A1840" location="'CDCM'!B1823" display="x2 = 2435. Correction factor for non half hourly tariffs"/>
    <hyperlink ref="A1849" location="'CDCM'!B1702" display="x1 = 2424. Off-peak non half hourly pseudo timeband load coefficients"/>
    <hyperlink ref="A1850" location="'CDCM'!B1823" display="x2 = 2435. Correction factor for non half hourly tariffs"/>
    <hyperlink ref="A1859" location="'CDCM'!B1739" display="x1 = 2428. Aggregated half hourly pseudo timeband load coefficients"/>
    <hyperlink ref="A1860" location="'CDCM'!B1823" display="x2 = 2435. Correction factor for non half hourly tariffs"/>
    <hyperlink ref="A1861" location="'CDCM'!B1806" display="x3 = 2434. Relative correction factor for aggregated half hourly tariff"/>
    <hyperlink ref="A1870" location="'CDCM'!B1833" display="x1 = 2436. Single rate non half hourly corrected pseudo timeband load coefficient"/>
    <hyperlink ref="A1871" location="'CDCM'!B1843" display="x2 = 2437. Multi rate non half hourly corrected pseudo timeband load coefficient"/>
    <hyperlink ref="A1872" location="'CDCM'!B1853" display="x3 = 2438. Off-peak non half hourly corrected pseudo timeband load coefficient"/>
    <hyperlink ref="A1873" location="'CDCM'!B1864" display="x4 = 2439. Aggregated half hourly corrected pseudo timeband load coefficient"/>
    <hyperlink ref="A1874" location="'CDCM'!B1592" display="x5 = 2414. Pseudo load coefficient by time band and network level"/>
    <hyperlink ref="A1901" location="'CDCM'!B1877" display="x1 = 2440. Pseudo load coefficient by time band and network level (equalised)"/>
    <hyperlink ref="A1902" location="'CDCM'!B1343" display="x2 = 2403. Split of rate 1 units between distribution time bands"/>
    <hyperlink ref="A1929" location="'CDCM'!B1877" display="x1 = 2440. Pseudo load coefficient by time band and network level (equalised)"/>
    <hyperlink ref="A1930" location="'CDCM'!B1388" display="x2 = 2405. Split of rate 2 units between distribution time bands"/>
    <hyperlink ref="A1953" location="'CDCM'!B1877" display="x1 = 2440. Pseudo load coefficient by time band and network level (equalised)"/>
    <hyperlink ref="A1954" location="'CDCM'!B1408" display="x2 = 2406. Split of rate 3 units between distribution time bands (default)"/>
    <hyperlink ref="A1972" location="'CDCM'!B314" display="x1 = 1066. Typical annual hours by special distribution time band"/>
    <hyperlink ref="A1973" location="'CDCM'!F13" display="x2 = 1010. Days in the charging year (in Financial and general assumptions)"/>
    <hyperlink ref="A1974" location="'CDCM'!B1979" display="x3 = Total hours in the year according to special time band hours input data (in Adjust annual hours by special distribution time band to match days in year)"/>
    <hyperlink ref="A1984" location="'CDCM'!B304" display="x1 = 1064. Average split of rate 1 units by special distribution time band"/>
    <hyperlink ref="A1985" location="'CDCM'!B1992" display="x2 = Total split (in Normalisation of split of rate 1 units by special time band)"/>
    <hyperlink ref="A1986" location="'CDCM'!C1979" display="x3 = 2444. Annual hours by special distribution time band (reconciled to days in year) (in Adjust annual hours by special distribution time band to match days in year)"/>
    <hyperlink ref="A1987" location="'CDCM'!F13" display="x4 = 1010. Days in the charging year (in Financial and general assumptions)"/>
    <hyperlink ref="A2000" location="'CDCM'!C1992" display="x1 = 2445. Normalised split of rate 1 units by special distribution time band (in Normalisation of split of rate 1 units by special time band)"/>
    <hyperlink ref="A2023" location="'CDCM'!B1428" display="x1 = 2407. All units (MWh)"/>
    <hyperlink ref="A2024" location="'CDCM'!B1267" display="x2 = 2305. Rate 1 units (MWh) (in Equivalent volume for each end user)"/>
    <hyperlink ref="A2025" location="'CDCM'!B2004" display="x3 = 2446. Split of rate 1 units between special distribution time bands"/>
    <hyperlink ref="A2026" location="'CDCM'!C1979" display="x4 = 2444. Annual hours by special distribution time band (reconciled to days in year) (in Adjust annual hours by special distribution time band to match days in year)"/>
    <hyperlink ref="A2027" location="'CDCM'!B2033" display="x5 = Use of special distribution time bands by units in demand forecast for one-rate tariffs (in Calculation of implied special load coefficients for one-rate users)"/>
    <hyperlink ref="A2028" location="'CDCM'!F13" display="x6 = 1010. Days in the charging year (in Financial and general assumptions)"/>
    <hyperlink ref="A2041" location="'CDCM'!B1428" display="x1 = 2407. All units (MWh)"/>
    <hyperlink ref="A2042" location="'CDCM'!B1267" display="x2 = 2305. Rate 1 units (MWh) (in Equivalent volume for each end user)"/>
    <hyperlink ref="A2043" location="'CDCM'!B2004" display="x3 = 2446. Split of rate 1 units between special distribution time bands"/>
    <hyperlink ref="A2044" location="'CDCM'!C1267" display="x4 = 2305. Rate 2 units (MWh) (in Equivalent volume for each end user)"/>
    <hyperlink ref="A2045" location="'CDCM'!B2013" display="x5 = 2447. Split of rate 2 units between special distribution time bands (default)"/>
    <hyperlink ref="A2046" location="'CDCM'!D1267" display="x6 = 2305. Rate 3 units (MWh) (in Equivalent volume for each end user)"/>
    <hyperlink ref="A2047" location="'CDCM'!B2018" display="x7 = 2448. Split of rate 3 units between special distribution time bands (default)"/>
    <hyperlink ref="A2048" location="'CDCM'!C1979" display="x8 = 2444. Annual hours by special distribution time band (reconciled to days in year) (in Adjust annual hours by special distribution time band to match days in year)"/>
    <hyperlink ref="A2049" location="'CDCM'!B2055" display="x9 = Use of special distribution time bands by units in demand forecast for three-rate tariffs (in Calculation of implied special load coefficients for three-rate users)"/>
    <hyperlink ref="A2050" location="'CDCM'!F13" display="x10 = 1010. Days in the charging year (in Financial and general assumptions)"/>
    <hyperlink ref="A2060" location="'CDCM'!E2033" display="x1 = 2449. Peak band special load coefficient for one-rate tariffs (in Calculation of implied special load coefficients for one-rate users)"/>
    <hyperlink ref="A2061" location="'CDCM'!E2055" display="x2 = 2450. Peak band special load coefficient for three-rate tariffs (in Calculation of implied special load coefficients for three-rate users)"/>
    <hyperlink ref="A2062" location="'CDCM'!B2069" display="x3 = Peak band special load coefficient (in Estimated contributions to peak demand)"/>
    <hyperlink ref="A2063" location="'CDCM'!B1428" display="x4 = 2407. All units (MWh)"/>
    <hyperlink ref="A2064" location="'CDCM'!F13" display="x5 = 1010. Days in the charging year (in Financial and general assumptions)"/>
    <hyperlink ref="A2065" location="'CDCM'!B979" display="x6 = 2302. Load coefficient"/>
    <hyperlink ref="A2078" location="'CDCM'!C2069" display="x1 = 2451. Contribution to peak band kW (in Estimated contributions to peak demand)"/>
    <hyperlink ref="A2079" location="'CDCM'!D2069" display="x2 = 2451. Contribution to system-peak-time kW (in Estimated contributions to peak demand)"/>
    <hyperlink ref="A2087" location="'CDCM'!C1565" display="x1 = 2412. Normalised peaking probabilities (in Normalisation of peaking probabilities)"/>
    <hyperlink ref="A2088" location="'CDCM'!E328" display="x2 = 1069. Black peaking probabilities (in Peaking probabilities by network level)"/>
    <hyperlink ref="A2089" location="'CDCM'!C2097" display="x3 = Amber peaking probabilities (in Calculation of special peaking probabilities)"/>
    <hyperlink ref="A2090" location="'CDCM'!B2097" display="x4 = Red peaking probabilities (in Calculation of special peaking probabilities)"/>
    <hyperlink ref="A2091" location="'CDCM'!B1565" display="x5 = 2412. Total probability (should be 100%) (in Normalisation of peaking probabilities)"/>
    <hyperlink ref="A2092" location="'CDCM'!E2097" display="x6 = Yellow peaking probabilities (in Calculation of special peaking probabilities)"/>
    <hyperlink ref="A2093" location="'CDCM'!D2097" display="x7 = Green peaking probabilities (in Calculation of special peaking probabilities)"/>
    <hyperlink ref="A2110" location="'CDCM'!D2097" display="x1 = 2453. Green peaking probabilities (in Calculation of special peaking probabilities)"/>
    <hyperlink ref="A2111" location="'CDCM'!E2097" display="x2 = 2453. Yellow peaking probabilities (in Calculation of special peaking probabilities)"/>
    <hyperlink ref="A2112" location="'CDCM'!F2097" display="x3 = 2453. Black peaking probabilities (in Calculation of special peaking probabilities)"/>
    <hyperlink ref="A2128" location="'CDCM'!B2115" display="x1 = 2454. Special peaking probabilities by network level"/>
    <hyperlink ref="A2136" location="'CDCM'!C1979" display="x1 = 2444. Annual hours by special distribution time band (reconciled to days in year) (in Adjust annual hours by special distribution time band to match days in year)"/>
    <hyperlink ref="A2137" location="'CDCM'!B2082" display="x2 = 2452. Load coefficient correction factor for the group"/>
    <hyperlink ref="A2138" location="'CDCM'!B2131" display="x3 = 2455. Special peaking probabilities by network level (reshaped)"/>
    <hyperlink ref="A2139" location="'CDCM'!F13" display="x4 = 1010. Days in the charging year (in Financial and general assumptions)"/>
    <hyperlink ref="A2147" location="'CDCM'!B2142" display="x1 = 2456. Pseudo load coefficient by special time band and network level"/>
    <hyperlink ref="A2148" location="'CDCM'!B2004" display="x2 = 2446. Split of rate 1 units between special distribution time bands"/>
    <hyperlink ref="A2160" location="'CDCM'!B2142" display="x1 = 2456. Pseudo load coefficient by special time band and network level"/>
    <hyperlink ref="A2161" location="'CDCM'!B2013" display="x2 = 2447. Split of rate 2 units between special distribution time bands (default)"/>
    <hyperlink ref="A2169" location="'CDCM'!B2142" display="x1 = 2456. Pseudo load coefficient by special time band and network level"/>
    <hyperlink ref="A2170" location="'CDCM'!B2018" display="x2 = 2448. Split of rate 3 units between special distribution time bands (default)"/>
    <hyperlink ref="A2178" location="'CDCM'!B1905" display="x1 = 2441. Unit rate 1 pseudo load coefficient by network level"/>
    <hyperlink ref="A2179" location="'CDCM'!B2151" display="x2 = 2457. Unit rate 1 pseudo load coefficient by network level (special)"/>
    <hyperlink ref="A2211" location="'CDCM'!B1933" display="x1 = 2442. Unit rate 2 pseudo load coefficient by network level"/>
    <hyperlink ref="A2212" location="'CDCM'!B2164" display="x2 = 2458. Unit rate 2 pseudo load coefficient by network level (special)"/>
    <hyperlink ref="A2236" location="'CDCM'!B1957" display="x1 = 2443. Unit rate 3 pseudo load coefficient by network level"/>
    <hyperlink ref="A2237" location="'CDCM'!B2173" display="x2 = 2459. Unit rate 3 pseudo load coefficient by network level (special)"/>
    <hyperlink ref="A2258" location="'CDCM'!B1267" display="x1 = 2305. Rate 1 units (MWh) (in Equivalent volume for each end user)"/>
    <hyperlink ref="A2259" location="'CDCM'!B2182" display="x2 = 2460. Unit rate 1 pseudo load coefficient by network level (combined)"/>
    <hyperlink ref="A2260" location="'CDCM'!B611" display="x3 = 2012. Loss adjustment factors between end user meter reading and each network level, scaled by network use"/>
    <hyperlink ref="A2261" location="'CDCM'!F13" display="x4 = 1010. Days in the charging year (in Financial and general assumptions)"/>
    <hyperlink ref="A2276" location="'CDCM'!B1267" display="x1 = 2305. Rate 1 units (MWh) (in Equivalent volume for each end user)"/>
    <hyperlink ref="A2277" location="'CDCM'!B2182" display="x2 = 2460. Unit rate 1 pseudo load coefficient by network level (combined)"/>
    <hyperlink ref="A2278" location="'CDCM'!C1267" display="x3 = 2305. Rate 2 units (MWh) (in Equivalent volume for each end user)"/>
    <hyperlink ref="A2279" location="'CDCM'!B2215" display="x4 = 2461. Unit rate 2 pseudo load coefficient by network level (combined)"/>
    <hyperlink ref="A2280" location="'CDCM'!B611" display="x5 = 2012. Loss adjustment factors between end user meter reading and each network level, scaled by network use"/>
    <hyperlink ref="A2281" location="'CDCM'!F13" display="x6 = 1010. Days in the charging year (in Financial and general assumptions)"/>
    <hyperlink ref="A2293" location="'CDCM'!B1267" display="x1 = 2305. Rate 1 units (MWh) (in Equivalent volume for each end user)"/>
    <hyperlink ref="A2294" location="'CDCM'!B2182" display="x2 = 2460. Unit rate 1 pseudo load coefficient by network level (combined)"/>
    <hyperlink ref="A2295" location="'CDCM'!C1267" display="x3 = 2305. Rate 2 units (MWh) (in Equivalent volume for each end user)"/>
    <hyperlink ref="A2296" location="'CDCM'!B2215" display="x4 = 2461. Unit rate 2 pseudo load coefficient by network level (combined)"/>
    <hyperlink ref="A2297" location="'CDCM'!D1267" display="x5 = 2305. Rate 3 units (MWh) (in Equivalent volume for each end user)"/>
    <hyperlink ref="A2298" location="'CDCM'!B2240" display="x6 = 2462. Unit rate 3 pseudo load coefficient by network level (combined)"/>
    <hyperlink ref="A2299" location="'CDCM'!B611" display="x7 = 2012. Loss adjustment factors between end user meter reading and each network level, scaled by network use"/>
    <hyperlink ref="A2300" location="'CDCM'!F13" display="x8 = 1010. Days in the charging year (in Financial and general assumptions)"/>
    <hyperlink ref="A2319" location="'CDCM'!B1428" display="x1 = 2407. All units (MWh)"/>
    <hyperlink ref="A2320" location="'CDCM'!B979" display="x2 = 2302. Load coefficient"/>
    <hyperlink ref="A2321" location="'CDCM'!B611" display="x3 = 2012. Loss adjustment factors between end user meter reading and each network level, scaled by network use"/>
    <hyperlink ref="A2322" location="'CDCM'!F13" display="x4 = 1010. Days in the charging year (in Financial and general assumptions)"/>
    <hyperlink ref="A2362" location="'CDCM'!B2264" display="x1 = 2501. Contributions of users on one-rate multi tariffs to system simultaneous maximum load by network level (kW)"/>
    <hyperlink ref="A2363" location="'CDCM'!B2284" display="x2 = 2502. Contributions of users on two-rate multi tariffs to system simultaneous maximum load by network level (kW)"/>
    <hyperlink ref="A2364" location="'CDCM'!B2303" display="x3 = 2503. Contributions of users on three-rate multi tariffs to system simultaneous maximum load by network level (kW)"/>
    <hyperlink ref="A2365" location="'CDCM'!B2325" display="x4 = 2504. Estimated contributions of users on each tariff to system simultaneous maximum load by network level (kW)"/>
    <hyperlink ref="A2405" location="'CDCM'!B2368" display="x1 = 2505. Contributions of users on each tariff to system simultaneous maximum load by network level (kW)"/>
    <hyperlink ref="A2415" location="'CDCM'!B2422" display="x1 = Standing charges factors (in Pre-processing of data for standing charge factors)"/>
    <hyperlink ref="A2416" location="'CDCM'!B35" display="x2 = 1018. Proportion of relevant load going through 132kV/HV direct transformation"/>
    <hyperlink ref="A2417" location="'CDCM'!J2422" display="x3 = Standing charges factors for 132kV/HV (in Pre-processing of data for standing charge factors)"/>
    <hyperlink ref="A2445" location="'CDCM'!J2422" display="x1 = 2601. Standing charges factors for 132kV/HV (in Pre-processing of data for standing charge factors)"/>
    <hyperlink ref="A2446" location="'CDCM'!K2422" display="x2 = 2601. Adjusted standing charges factors for 132kV (in Pre-processing of data for standing charge factors)"/>
    <hyperlink ref="A2447" location="'CDCM'!B2422" display="x3 = 2601. Standing charges factors (in Pre-processing of data for standing charge factors)"/>
    <hyperlink ref="A2473" location="'CDCM'!F1267" display="x1 = 2305. Import capacity (kVA) (in Equivalent volume for each end user)"/>
    <hyperlink ref="A2474" location="'CDCM'!G1267" display="x2 = 2305. Exceeded capacity (kVA) (in Equivalent volume for each end user)"/>
    <hyperlink ref="A2475" location="'CDCM'!E13" display="x3 = 1010. Power factor for all flows in the network model (in Financial and general assumptions)"/>
    <hyperlink ref="A2476" location="'CDCM'!B2450" display="x4 = 2602. Standing charges factors adapted to use 132kV/HV"/>
    <hyperlink ref="A2477" location="'CDCM'!B611" display="x5 = 2012. Loss adjustment factors between end user meter reading and each network level, scaled by network use"/>
    <hyperlink ref="A2487" location="'CDCM'!B1428" display="x1 = 2407. All units (MWh)"/>
    <hyperlink ref="A2488" location="'CDCM'!C121" display="x2 = 1041. Load factor for each type of demand user (in Load profile data for demand users)"/>
    <hyperlink ref="A2489" location="'CDCM'!B2450" display="x3 = 2602. Standing charges factors adapted to use 132kV/HV"/>
    <hyperlink ref="A2490" location="'CDCM'!B611" display="x4 = 2012. Loss adjustment factors between end user meter reading and each network level, scaled by network use"/>
    <hyperlink ref="A2491" location="'CDCM'!F13" display="x5 = 1010. Days in the charging year (in Financial and general assumptions)"/>
    <hyperlink ref="A2507" location="'CDCM'!B2480" display="x1 = 2603. Capacity-based contributions to chargeable aggregate maximum load by network level (kW)"/>
    <hyperlink ref="A2508" location="'CDCM'!B2494" display="x2 = 2604. Unit-based contributions to chargeable aggregate maximum load (kW)"/>
    <hyperlink ref="A2527" location="'CDCM'!B2511" display="x1 = 2605. Contributions to aggregate maximum load by network level (kW)"/>
    <hyperlink ref="A2535" location="'CDCM'!B2368" display="x1 = 2505. Contributions of users on each tariff to system simultaneous maximum load by network level (kW)"/>
    <hyperlink ref="A2536" location="'CDCM'!B2450" display="x2 = 2602. Standing charges factors adapted to use 132kV/HV"/>
    <hyperlink ref="A2562" location="'CDCM'!B2539" display="x1 = 2607. Forecast simultaneous load subject to standing charge factors (kW)"/>
    <hyperlink ref="A2570" location="'CDCM'!B2530" display="x1 = 2606. Forecast chargeable aggregate maximum load (kW)"/>
    <hyperlink ref="A2571" location="'CDCM'!B2565" display="x2 = 2608. Forecast simultaneous load replaced by standing charge (kW)"/>
    <hyperlink ref="A2591" location="'CDCM'!D692" display="x1 = 2104. Diversity allowance between level exit and GSP Group (in Diversity calculations)"/>
    <hyperlink ref="A2592" location="'CDCM'!B2579" display="x2 = 2610. Network level mapping for diversity allowances"/>
    <hyperlink ref="A2608" location="'CDCM'!B2574" display="x1 = 2609. Calculated LV diversity allowance"/>
    <hyperlink ref="A2609" location="'CDCM'!B2595" display="x2 = 2611. Diversity allowances including 132kV/HV"/>
    <hyperlink ref="A2617" location="'CDCM'!B2408" display="x1 = 2506. Forecast system simultaneous maximum load (kW) from forecast units"/>
    <hyperlink ref="A2618" location="'CDCM'!B2565" display="x2 = 2608. Forecast simultaneous load replaced by standing charge (kW)"/>
    <hyperlink ref="A2619" location="'CDCM'!B2530" display="x3 = 2606. Forecast chargeable aggregate maximum load (kW)"/>
    <hyperlink ref="A2620" location="'CDCM'!B2612" display="x4 = 2612. Diversity allowances (including calculated LV value)"/>
    <hyperlink ref="A2630" location="'CDCM'!B261" display="x1 = 1055. Transmission exit charges (£/year)"/>
    <hyperlink ref="A2639" location="'CDCM'!B757" display="x1 = 2108. GSP simultaneous maximum load assumed through each network level (MW)"/>
    <hyperlink ref="A2640" location="'CDCM'!B2623" display="x2 = 2613. Forecast simultaneous maximum load (kW) adjusted for standing charges"/>
    <hyperlink ref="A2641" location="'CDCM'!B45" display="x3 = 1020. Gross asset cost by network level (£)"/>
    <hyperlink ref="A2649" location="'CDCM'!B1428" display="x1 = 2407. All units (MWh)"/>
    <hyperlink ref="A2661" location="'CDCM'!B2652" display="x1 = 2703. Annual consumption by tariff for unmetered users (MWh)"/>
    <hyperlink ref="A2669" location="'CDCM'!B854" display="x1 = 2205. Service model assets by tariff (£)"/>
    <hyperlink ref="A2670" location="'CDCM'!E1267" display="x2 = 2305. MPANs (in Equivalent volume for each end user)"/>
    <hyperlink ref="A2671" location="'CDCM'!B821" display="x3 = 2202. LV unmetered service model assets £/(MWh/year)"/>
    <hyperlink ref="A2672" location="'CDCM'!B2664" display="x4 = 2704. Total unmetered units"/>
    <hyperlink ref="A2673" location="'CDCM'!D2680" display="x5 = Service model assets (£) scaled by annual MWh (in Service model asset data)"/>
    <hyperlink ref="A2674" location="'CDCM'!B2680" display="x6 = Service model assets (£) scaled by user count (in Service model asset data)"/>
    <hyperlink ref="A2675" location="'CDCM'!E2680" display="x7 = Service model assets (£) scaled by annual MWh (in Service model asset data)"/>
    <hyperlink ref="A2685" location="'CDCM'!B2644" display="x1 = 2702. Network model assets (£) scaled by load forecast"/>
    <hyperlink ref="A2686" location="'CDCM'!G2680" display="x2 = 2705. Service model assets (£) (in Service model asset data)"/>
    <hyperlink ref="A2687" location="'CDCM'!B2692" display="x3 = Model assets (£) scaled by demand forecast (in Data for allocation of operating expenditure)"/>
    <hyperlink ref="A2697" location="'CDCM'!B266" display="x1 = 1059. Direct cost (£/year) (in Other expenditure)"/>
    <hyperlink ref="A2698" location="'CDCM'!E266" display="x2 = 1059. Network rates (£/year) (in Other expenditure)"/>
    <hyperlink ref="A2699" location="'CDCM'!C266" display="x3 = 1059. Indirect cost (£/year) (in Other expenditure)"/>
    <hyperlink ref="A2700" location="'CDCM'!D266" display="x4 = 1059. Indirect cost proportion (in Other expenditure)"/>
    <hyperlink ref="A2708" location="'CDCM'!B2634" display="x1 = 2701. Operating expenditure coded by network level (£/year)"/>
    <hyperlink ref="A2709" location="'CDCM'!B2703" display="x2 = 2707. Amount of expenditure to be allocated according to asset values (£/year)"/>
    <hyperlink ref="A2710" location="'CDCM'!M2692" display="x3 = 2706. Denominator for allocation of operating expenditure (in Data for allocation of operating expenditure)"/>
    <hyperlink ref="A2711" location="'CDCM'!B2692" display="x4 = 2706. Model assets (£) scaled by demand forecast (in Data for allocation of operating expenditure)"/>
    <hyperlink ref="A2719" location="'CDCM'!B2692" display="x1 = 2706. Model assets (£) scaled by demand forecast (in Data for allocation of operating expenditure)"/>
    <hyperlink ref="A2720" location="'CDCM'!B2714" display="x2 = 2708. Total operating expenditure by network level  (£/year)"/>
    <hyperlink ref="A2728" location="'CDCM'!B2623" display="x1 = 2613. Forecast simultaneous maximum load (kW) adjusted for standing charges"/>
    <hyperlink ref="A2729" location="'CDCM'!B2714" display="x2 = 2708. Total operating expenditure by network level  (£/year)"/>
    <hyperlink ref="A2737" location="'CDCM'!F13" display="x1 = 1010. Days in the charging year (in Financial and general assumptions)"/>
    <hyperlink ref="A2738" location="'CDCM'!B2723" display="x2 = 2709. Operating expenditure percentage by network level"/>
    <hyperlink ref="A2739" location="'CDCM'!B854" display="x3 = 2205. Service model assets by tariff (£)"/>
    <hyperlink ref="A2740" location="'CDCM'!B2745" display="x4 = Operating expenditure p/MPAN/day by level (in Operating expenditure for customer assets p/MPAN/day)"/>
    <hyperlink ref="A2782" location="'CDCM'!B2723" display="x1 = 2709. Operating expenditure percentage by network level"/>
    <hyperlink ref="A2783" location="'CDCM'!B821" display="x2 = 2202. LV unmetered service model assets £/(MWh/year)"/>
    <hyperlink ref="A2835" location="'CDCM'!B274" display="x1 = 1060. Customer contributions under current connection charging policy"/>
    <hyperlink ref="A2836" location="'CDCM'!D13" display="x2 = 1010. Annuity proportion for customer-contributed assets (in Financial and general assumptions)"/>
    <hyperlink ref="A2851" location="'CDCM'!B2798" display="x1 = 2801. Network level of supply (for customer contributions) by tariff"/>
    <hyperlink ref="A2852" location="'CDCM'!B2839" display="x2 = 2802. Contribution proportion of asset annuities, by customer type and network level of assets"/>
    <hyperlink ref="A2894" location="'CDCM'!B2855" display="x3 = 2803. Proportion of asset annuities deemed to be covered by customer contributions"/>
    <hyperlink ref="A2937" location="'CDCM'!B774" display="x1 = 2109. Network model annuity by simultaneous maximum load for each network level (£/kW/year)"/>
    <hyperlink ref="A2938" location="'CDCM'!B2732" display="x2 = 2710. Unit operating expenditure based on simultaneous maximum load (£/kW/year)"/>
    <hyperlink ref="A2946" location="'CDCM'!B2941" display="x1 = 2901. Unit cost at each level, £/kW/year (relative to system simultaneous maximum load)"/>
    <hyperlink ref="A2947" location="'CDCM'!B979" display="x2 = 2302. Load coefficient"/>
    <hyperlink ref="A2948" location="'CDCM'!B611" display="x3 = 2012. Loss adjustment factors between end user meter reading and each network level, scaled by network use"/>
    <hyperlink ref="A2949" location="'CDCM'!B2897" display="x4 = 2804. Proportion of annual charge covered by contributions (for all charging levels)"/>
    <hyperlink ref="A2950" location="'CDCM'!F13" display="x5 = 1010. Days in the charging year (in Financial and general assumptions)"/>
    <hyperlink ref="A2990" location="'CDCM'!B2182" display="x1 = 2460. Unit rate 1 pseudo load coefficient by network level (combined)"/>
    <hyperlink ref="A2991" location="'CDCM'!B2941" display="x2 = 2901. Unit cost at each level, £/kW/year (relative to system simultaneous maximum load)"/>
    <hyperlink ref="A2992" location="'CDCM'!B611" display="x3 = 2012. Loss adjustment factors between end user meter reading and each network level, scaled by network use"/>
    <hyperlink ref="A2993" location="'CDCM'!B2897" display="x4 = 2804. Proportion of annual charge covered by contributions (for all charging levels)"/>
    <hyperlink ref="A2994" location="'CDCM'!F13" display="x5 = 1010. Days in the charging year (in Financial and general assumptions)"/>
    <hyperlink ref="A3026" location="'CDCM'!B2215" display="x1 = 2461. Unit rate 2 pseudo load coefficient by network level (combined)"/>
    <hyperlink ref="A3027" location="'CDCM'!B2941" display="x2 = 2901. Unit cost at each level, £/kW/year (relative to system simultaneous maximum load)"/>
    <hyperlink ref="A3028" location="'CDCM'!B611" display="x3 = 2012. Loss adjustment factors between end user meter reading and each network level, scaled by network use"/>
    <hyperlink ref="A3029" location="'CDCM'!B2897" display="x4 = 2804. Proportion of annual charge covered by contributions (for all charging levels)"/>
    <hyperlink ref="A3030" location="'CDCM'!F13" display="x5 = 1010. Days in the charging year (in Financial and general assumptions)"/>
    <hyperlink ref="A3054" location="'CDCM'!B2240" display="x1 = 2462. Unit rate 3 pseudo load coefficient by network level (combined)"/>
    <hyperlink ref="A3055" location="'CDCM'!B2941" display="x2 = 2901. Unit cost at each level, £/kW/year (relative to system simultaneous maximum load)"/>
    <hyperlink ref="A3056" location="'CDCM'!B611" display="x3 = 2012. Loss adjustment factors between end user meter reading and each network level, scaled by network use"/>
    <hyperlink ref="A3057" location="'CDCM'!B2897" display="x4 = 2804. Proportion of annual charge covered by contributions (for all charging levels)"/>
    <hyperlink ref="A3058" location="'CDCM'!F13" display="x5 = 1010. Days in the charging year (in Financial and general assumptions)"/>
    <hyperlink ref="A3080" location="'CDCM'!B2941" display="x1 = 2901. Unit cost at each level, £/kW/year (relative to system simultaneous maximum load)"/>
    <hyperlink ref="A3081" location="'CDCM'!B2612" display="x2 = 2612. Diversity allowances (including calculated LV value)"/>
    <hyperlink ref="A3090" location="'CDCM'!B2450" display="x1 = 2602. Standing charges factors adapted to use 132kV/HV"/>
    <hyperlink ref="A3091" location="'CDCM'!B611" display="x2 = 2012. Loss adjustment factors between end user meter reading and each network level, scaled by network use"/>
    <hyperlink ref="A3092" location="'CDCM'!B3084" display="x3 = 3001. Costs based on aggregate maximum load (£/kW/year)"/>
    <hyperlink ref="A3093" location="'CDCM'!E13" display="x4 = 1010. Power factor for all flows in the network model (in Financial and general assumptions)"/>
    <hyperlink ref="A3094" location="'CDCM'!F13" display="x5 = 1010. Days in the charging year (in Financial and general assumptions)"/>
    <hyperlink ref="A3095" location="'CDCM'!B2897" display="x6 = 2804. Proportion of annual charge covered by contributions (for all charging levels)"/>
    <hyperlink ref="A3121" location="'CDCM'!B2450" display="x1 = 2602. Standing charges factors adapted to use 132kV/HV"/>
    <hyperlink ref="A3122" location="'CDCM'!B2953" display="x2 = 2902. Pay-as-you-go yardstick unit costs by charging level (p/kWh)"/>
    <hyperlink ref="A3148" location="'CDCM'!B2450" display="x1 = 2602. Standing charges factors adapted to use 132kV/HV"/>
    <hyperlink ref="A3149" location="'CDCM'!B2997" display="x2 = 2903. Contributions to pay-as-you-go unit rate 1 (p/kWh)"/>
    <hyperlink ref="A3175" location="'CDCM'!B2450" display="x1 = 2602. Standing charges factors adapted to use 132kV/HV"/>
    <hyperlink ref="A3176" location="'CDCM'!B3033" display="x2 = 2904. Contributions to pay-as-you-go unit rate 2 (p/kWh)"/>
    <hyperlink ref="A3194" location="'CDCM'!B2450" display="x1 = 2602. Standing charges factors adapted to use 132kV/HV"/>
    <hyperlink ref="A3195" location="'CDCM'!B3061" display="x2 = 2905. Contributions to pay-as-you-go unit rate 3 (p/kWh)"/>
    <hyperlink ref="A3208" location="'CDCM'!B2450" display="x1 = 2602. Standing charges factors adapted to use 132kV/HV"/>
    <hyperlink ref="A3209" location="'CDCM'!B611" display="x2 = 2012. Loss adjustment factors between end user meter reading and each network level, scaled by network use"/>
    <hyperlink ref="A3210" location="'CDCM'!B3084" display="x3 = 3001. Costs based on aggregate maximum load (£/kW/year)"/>
    <hyperlink ref="A3211" location="'CDCM'!E13" display="x4 = 1010. Power factor for all flows in the network model (in Financial and general assumptions)"/>
    <hyperlink ref="A3212" location="'CDCM'!F13" display="x5 = 1010. Days in the charging year (in Financial and general assumptions)"/>
    <hyperlink ref="A3254" location="'CDCM'!B1428" display="x1 = 2407. All units (MWh)"/>
    <hyperlink ref="A3255" location="'CDCM'!C121" display="x2 = 1041. Load factor for each type of demand user (in Load profile data for demand users)"/>
    <hyperlink ref="A3256" location="'CDCM'!F13" display="x3 = 1010. Days in the charging year (in Financial and general assumptions)"/>
    <hyperlink ref="A3257" location="'CDCM'!E1267" display="x4 = 2305. MPANs (in Equivalent volume for each end user)"/>
    <hyperlink ref="A3274" location="'CDCM'!B3241" display="x1 = 3101. Mapping of tariffs to tariff groups"/>
    <hyperlink ref="A3275" location="'CDCM'!B3261" display="x2 = 3102. Unit-based contributions to aggregate maximum load (kW) (in Capacity use for tariffs charged for capacity on an exit point basis)"/>
    <hyperlink ref="A3283" location="'CDCM'!B3241" display="x1 = 3101. Mapping of tariffs to tariff groups"/>
    <hyperlink ref="A3284" location="'CDCM'!C3261" display="x2 = 3102. MPANs (in Equivalent volume for each end user) (in Capacity use for tariffs charged for capacity on an exit point basis)"/>
    <hyperlink ref="A3292" location="'CDCM'!B3287" display="x1 = 3104. Aggregate number of users charged for capacity on an exit point basis"/>
    <hyperlink ref="A3293" location="'CDCM'!B3278" display="x2 = 3103. Aggregate capacity (kW)"/>
    <hyperlink ref="A3294" location="'CDCM'!E13" display="x3 = 1010. Power factor for all flows in the network model (in Financial and general assumptions)"/>
    <hyperlink ref="A3302" location="'CDCM'!B3241" display="x1 = 3101. Mapping of tariffs to tariff groups"/>
    <hyperlink ref="A3303" location="'CDCM'!B3297" display="x2 = 3105. Average maximum kVA by exit point"/>
    <hyperlink ref="A3319" location="'CDCM'!B3098" display="x1 = 3002. Capacity elements p/kVA/day"/>
    <hyperlink ref="A3320" location="'CDCM'!B3306" display="x2 = 3106. Deemed average maximum kVA for each tariff"/>
    <hyperlink ref="A3350" location="'CDCM'!B3125" display="x1 = 3003. Yardstick components p/kWh (taking account of standing charges)"/>
    <hyperlink ref="A3360" location="'CDCM'!B3353" display="x1 = 3202. Standard components p/kWh for reactive power (absolute value)"/>
    <hyperlink ref="A3361" location="'CDCM'!B349" display="x2 = 1092. Average kVAr by kVA, by network level"/>
    <hyperlink ref="A3362" location="'CDCM'!E13" display="x3 = 1010. Power factor for all flows in the network model (in Financial and general assumptions)"/>
    <hyperlink ref="A3372" location="'CDCM'!B979" display="x1 = 2302. Load coefficient"/>
    <hyperlink ref="A3385" location="'CDCM'!B2941" display="x1 = 2901. Unit cost at each level, £/kW/year (relative to system simultaneous maximum load)"/>
    <hyperlink ref="A3386" location="'CDCM'!B3375" display="x2 = 3204. Absolute value of load coefficient (kW peak / average kW)"/>
    <hyperlink ref="A3387" location="'CDCM'!I364" display="x3 = 2001. Loss adjustment factor to transmission (in Loss adjustment factors to transmission)"/>
    <hyperlink ref="A3388" location="'CDCM'!B433" display="x4 = 2004. Loss adjustment factor to transmission for each network level"/>
    <hyperlink ref="A3389" location="'CDCM'!B2897" display="x5 = 2804. Proportion of annual charge covered by contributions (for all charging levels)"/>
    <hyperlink ref="A3390" location="'CDCM'!B3340" display="x6 = 3201. Network use factors for generator reactive unit charges"/>
    <hyperlink ref="A3391" location="'CDCM'!F13" display="x7 = 1010. Days in the charging year (in Financial and general assumptions)"/>
    <hyperlink ref="A3404" location="'CDCM'!B3394" display="x1 = 3205. Pay-as-you-go components p/kWh for reactive power (absolute value)"/>
    <hyperlink ref="A3405" location="'CDCM'!B349" display="x2 = 1092. Average kVAr by kVA, by network level"/>
    <hyperlink ref="A3406" location="'CDCM'!E13" display="x3 = 1010. Power factor for all flows in the network model (in Financial and general assumptions)"/>
    <hyperlink ref="A3422" location="'CDCM'!B3152" display="x1 = 3004. Unit rate 1 total p/kWh (taking account of standing charges) — for Tariffs with Unit rate 1 p/kWh from Standard 1 kWh"/>
    <hyperlink ref="A3423" location="'CDCM'!B2997" display="x2 = 2903. Pay-as-you-go unit rate 1 (p/kWh) — for Tariffs with Unit rate 1 p/kWh from PAYG 1 kWh"/>
    <hyperlink ref="A3424" location="'CDCM'!B2997" display="x3 = 2903. Pay-as-you-go unit rate 1 (p/kWh) — for Tariffs with Unit rate 1 p/kWh from PAYG 1 kWh &amp; customer"/>
    <hyperlink ref="A3425" location="'CDCM'!B2953" display="x4 = 2902. Pay-as-you-go yardstick unit rate (p/kWh) — for Tariffs with Unit rate 1 p/kWh from PAYG yardstick kWh"/>
    <hyperlink ref="A3426" location="'CDCM'!B831" display="x5 = 2203. LV unmetered service model asset charge (p/kWh) — for Tariffs with Unit rate 1 p/kWh from PAYG 1 kWh &amp; customer"/>
    <hyperlink ref="A3427" location="'CDCM'!B2786" display="x6 = 2712. Operating expenditure for unmetered customer assets (p/kWh) — for Tariffs with Unit rate 1 p/kWh from PAYG 1 kWh &amp; customer"/>
    <hyperlink ref="A3467" location="'CDCM'!B3179" display="x1 = 3005. Unit rate 2 total p/kWh (taking account of standing charges) — for Tariffs with Unit rate 2 p/kWh from Standard 2 kWh"/>
    <hyperlink ref="A3468" location="'CDCM'!B3033" display="x2 = 2904. Pay-as-you-go unit rate 2 (p/kWh) — for Tariffs with Unit rate 2 p/kWh from PAYG 2 kWh"/>
    <hyperlink ref="A3469" location="'CDCM'!B3033" display="x3 = 2904. Pay-as-you-go unit rate 2 (p/kWh) — for Tariffs with Unit rate 2 p/kWh from PAYG 2 kWh &amp; customer"/>
    <hyperlink ref="A3470" location="'CDCM'!B831" display="x4 = 2203. LV unmetered service model asset charge (p/kWh) — for Tariffs with Unit rate 2 p/kWh from PAYG 2 kWh &amp; customer"/>
    <hyperlink ref="A3471" location="'CDCM'!B2786" display="x5 = 2712. Operating expenditure for unmetered customer assets (p/kWh) — for Tariffs with Unit rate 2 p/kWh from PAYG 2 kWh &amp; customer"/>
    <hyperlink ref="A3511" location="'CDCM'!B3198" display="x1 = 3006. Unit rate 3 total p/kWh (taking account of standing charges) — for Tariffs with Unit rate 3 p/kWh from Standard 3 kWh"/>
    <hyperlink ref="A3512" location="'CDCM'!B3061" display="x2 = 2905. Pay-as-you-go unit rate 3 (p/kWh) — for Tariffs with Unit rate 3 p/kWh from PAYG 3 kWh"/>
    <hyperlink ref="A3513" location="'CDCM'!B3061" display="x3 = 2905. Pay-as-you-go unit rate 3 (p/kWh) — for Tariffs with Unit rate 3 p/kWh from PAYG 3 kWh &amp; customer"/>
    <hyperlink ref="A3514" location="'CDCM'!B831" display="x4 = 2203. LV unmetered service model asset charge (p/kWh) — for Tariffs with Unit rate 3 p/kWh from PAYG 3 kWh &amp; customer"/>
    <hyperlink ref="A3515" location="'CDCM'!B2786" display="x5 = 2712. Operating expenditure for unmetered customer assets (p/kWh) — for Tariffs with Unit rate 3 p/kWh from PAYG 3 kWh &amp; customer"/>
    <hyperlink ref="A3555" location="'CDCM'!B3323" display="x1 = 3107. Fixed charge from standing charges factors p/MPAN/day — for Tariffs with Fixed charge p/MPAN/day from Fixed from network &amp; customer"/>
    <hyperlink ref="A3556" location="'CDCM'!B900" display="x2 = 2206. Service model p/MPAN/day (in Replacement annuities for service models) — for Tariffs with Fixed charge p/MPAN/day from Customer"/>
    <hyperlink ref="A3557" location="'CDCM'!B900" display="x3 = 2206. Service model p/MPAN/day (in Replacement annuities for service models) — for Tariffs with Fixed charge p/MPAN/day from Fixed from network &amp; customer"/>
    <hyperlink ref="A3558" location="'CDCM'!B2745" display="x4 = 2711. Operating expenditure for customer assets p/MPAN/day total (in Operating expenditure for customer assets p/MPAN/day) — for Tariffs with Fixed charge p/MPAN/day from Customer"/>
    <hyperlink ref="A3559" location="'CDCM'!B2745" display="x5 = 2711. Operating expenditure for customer assets p/MPAN/day total (in Operating expenditure for customer assets p/MPAN/day) — for Tariffs with Fixed charge p/MPAN/day from Fixed from network &amp; customer"/>
    <hyperlink ref="A3599" location="'CDCM'!B3098" display="x1 = 3002. Capacity charge p/kVA/day — for Tariffs with Capacity charge p/kVA/day from Capacity"/>
    <hyperlink ref="A3639" location="'CDCM'!B3215" display="x1 = 3007. Exceeded capacity charge p/kVA/day — for Tariffs with Exceeded capacity charge p/kVA/day from Capacity"/>
    <hyperlink ref="A3679" location="'CDCM'!B3409" display="x1 = 3206. Pay-as-you-go reactive p/kVArh"/>
    <hyperlink ref="A3680" location="'CDCM'!B3365" display="x2 = 3203. Standard reactive p/kVArh"/>
    <hyperlink ref="A3720" location="'CDCM'!B3430" display="x1 = 3301. Unit rate 1 p/kWh (elements)"/>
    <hyperlink ref="A3721" location="'CDCM'!B3474" display="x2 = 3302. Unit rate 2 p/kWh (elements)"/>
    <hyperlink ref="A3722" location="'CDCM'!B3518" display="x3 = 3303. Unit rate 3 p/kWh (elements)"/>
    <hyperlink ref="A3723" location="'CDCM'!B3562" display="x4 = 3304. Fixed charge p/MPAN/day (elements)"/>
    <hyperlink ref="A3724" location="'CDCM'!B3602" display="x5 = 3305. Capacity charge p/kVA/day (elements)"/>
    <hyperlink ref="A3725" location="'CDCM'!B3642" display="x6 = 3306. Exceeded capacity charge p/kVA/day (elements)"/>
    <hyperlink ref="A3726" location="'CDCM'!B3683" display="x7 = 3307. Reactive power charge p/kVArh (elements)"/>
    <hyperlink ref="A3769" location="'CDCM'!F13" display="x1 = 1010. Days in the charging year (in Financial and general assumptions)"/>
    <hyperlink ref="A3770" location="'CDCM'!E3730" display="x2 = 3308. Fixed charge p/MPAN/day (total) (in Summary of charges before revenue matching)"/>
    <hyperlink ref="A3771" location="'CDCM'!E1267" display="x3 = 2305. MPANs (in Equivalent volume for each end user)"/>
    <hyperlink ref="A3772" location="'CDCM'!F3730" display="x4 = 3308. Capacity charge p/kVA/day (total) (in Summary of charges before revenue matching)"/>
    <hyperlink ref="A3773" location="'CDCM'!F1267" display="x5 = 2305. Import capacity (kVA) (in Equivalent volume for each end user)"/>
    <hyperlink ref="A3774" location="'CDCM'!G3730" display="x6 = 3308. Exceeded capacity charge p/kVA/day (total) (in Summary of charges before revenue matching)"/>
    <hyperlink ref="A3775" location="'CDCM'!G1267" display="x7 = 2305. Exceeded capacity (kVA) (in Equivalent volume for each end user)"/>
    <hyperlink ref="A3776" location="'CDCM'!B3730" display="x8 = 3308. Unit rate 1 p/kWh (total) (in Summary of charges before revenue matching)"/>
    <hyperlink ref="A3777" location="'CDCM'!B1267" display="x9 = 2305. Rate 1 units (MWh) (in Equivalent volume for each end user)"/>
    <hyperlink ref="A3778" location="'CDCM'!C3730" display="x10 = 3308. Unit rate 2 p/kWh (total) (in Summary of charges before revenue matching)"/>
    <hyperlink ref="A3779" location="'CDCM'!C1267" display="x11 = 2305. Rate 2 units (MWh) (in Equivalent volume for each end user)"/>
    <hyperlink ref="A3780" location="'CDCM'!D3730" display="x12 = 3308. Unit rate 3 p/kWh (total) (in Summary of charges before revenue matching)"/>
    <hyperlink ref="A3781" location="'CDCM'!D1267" display="x13 = 2305. Rate 3 units (MWh) (in Equivalent volume for each end user)"/>
    <hyperlink ref="A3782" location="'CDCM'!H3730" display="x14 = 3308. Reactive power charge p/kVArh (in Summary of charges before revenue matching)"/>
    <hyperlink ref="A3783" location="'CDCM'!H1267" display="x15 = 2305. Reactive power units (MVArh) (in Equivalent volume for each end user)"/>
    <hyperlink ref="A3823" location="'CDCM'!B3786" display="x1 = 3401. Net revenues by tariff before matching (£)"/>
    <hyperlink ref="A3824" location="'CDCM'!B342" display="x2 = 1076. Target CDCM net revenue (£/year)"/>
    <hyperlink ref="A3825" location="'CDCM'!B3829" display="x3 = Total net revenues before matching (£) (in Revenue surplus or shortfall)"/>
    <hyperlink ref="A3836" location="'CDCM'!B3730" display="x1 = 3308. Unit rate 1 p/kWh (total) (in Summary of charges before revenue matching)"/>
    <hyperlink ref="A3837" location="'CDCM'!C3730" display="x2 = 3308. Unit rate 2 p/kWh (total) (in Summary of charges before revenue matching)"/>
    <hyperlink ref="A3838" location="'CDCM'!D3730" display="x3 = 3308. Unit rate 3 p/kWh (total) (in Summary of charges before revenue matching)"/>
    <hyperlink ref="A3879" location="'CDCM'!B979" display="x1 = 2302. Load coefficient"/>
    <hyperlink ref="A3880" location="'CDCM'!B1267" display="x2 = 2305. Rate 1 units (MWh) (in Equivalent volume for each end user)"/>
    <hyperlink ref="A3881" location="'CDCM'!C1267" display="x3 = 2305. Rate 2 units (MWh) (in Equivalent volume for each end user)"/>
    <hyperlink ref="A3882" location="'CDCM'!D1267" display="x4 = 2305. Rate 3 units (MWh) (in Equivalent volume for each end user)"/>
    <hyperlink ref="A3923" location="'CDCM'!C3829" display="x1 = 3402. Revenue shortfall (surplus) £ (in Revenue surplus or shortfall)"/>
    <hyperlink ref="A3924" location="'CDCM'!B3886" display="x2 = 3502. Effect through Unit rate 1 p/kWh (in Marginal revenue effect of adder)"/>
    <hyperlink ref="A3925" location="'CDCM'!C3886" display="x3 = 3502. Effect through Unit rate 2 p/kWh (in Marginal revenue effect of adder)"/>
    <hyperlink ref="A3926" location="'CDCM'!D3886" display="x4 = 3502. Effect through Unit rate 3 p/kWh (in Marginal revenue effect of adder)"/>
    <hyperlink ref="A3934" location="'CDCM'!B3929" display="x1 = 3503. Constraint-free solution"/>
    <hyperlink ref="A3935" location="'CDCM'!B3842" display="x2 = 3501. Adder threshold for Unit rate 1 p/kWh (in Adder value at which the minimum is breached)"/>
    <hyperlink ref="A3936" location="'CDCM'!C3842" display="x3 = 3501. Adder threshold for Unit rate 2 p/kWh (in Adder value at which the minimum is breached)"/>
    <hyperlink ref="A3937" location="'CDCM'!D3842" display="x4 = 3501. Adder threshold for Unit rate 3 p/kWh (in Adder value at which the minimum is breached)"/>
    <hyperlink ref="A3945" location="'CDCM'!B3940" display="x1 = 3504. Starting point"/>
    <hyperlink ref="A3946" location="'CDCM'!B3842" display="x2 = 3501. Adder threshold for Unit rate 1 p/kWh (in Adder value at which the minimum is breached)"/>
    <hyperlink ref="A3947" location="'CDCM'!C3842" display="x3 = 3501. Adder threshold for Unit rate 2 p/kWh (in Adder value at which the minimum is breached)"/>
    <hyperlink ref="A3948" location="'CDCM'!D3842" display="x4 = 3501. Adder threshold for Unit rate 3 p/kWh (in Adder value at which the minimum is breached)"/>
    <hyperlink ref="A3949" location="'CDCM'!B3886" display="x5 = 3502. Effect through Unit rate 1 p/kWh (in Marginal revenue effect of adder)"/>
    <hyperlink ref="A3950" location="'CDCM'!C3886" display="x6 = 3502. Effect through Unit rate 2 p/kWh (in Marginal revenue effect of adder)"/>
    <hyperlink ref="A3951" location="'CDCM'!D3886" display="x7 = 3502. Effect through Unit rate 3 p/kWh (in Marginal revenue effect of adder)"/>
    <hyperlink ref="A3952" location="'CDCM'!B3969" display="x8 = Location (in Solve for General adder rate (p/kWh))"/>
    <hyperlink ref="A3953" location="'CDCM'!C3969" display="x9 = Kink (in Solve for General adder rate (p/kWh))"/>
    <hyperlink ref="A3954" location="'CDCM'!F3969" display="x10 = Ranking before tie break (in Solve for General adder rate (p/kWh))"/>
    <hyperlink ref="A3955" location="'CDCM'!G3969" display="x11 = Counter (in Solve for General adder rate (p/kWh))"/>
    <hyperlink ref="A3956" location="'CDCM'!H3969" display="x12 = Tie breaker (in Solve for General adder rate (p/kWh))"/>
    <hyperlink ref="A3957" location="'CDCM'!I3969" display="x13 = Ranking (in Solve for General adder rate (p/kWh))"/>
    <hyperlink ref="A3958" location="'CDCM'!J3969" display="x14 = Kink reordering (in Solve for General adder rate (p/kWh))"/>
    <hyperlink ref="A3959" location="'CDCM'!D3969" display="x15 = Starting slope contributions (in Solve for General adder rate (p/kWh))"/>
    <hyperlink ref="A3960" location="'CDCM'!L3969" display="x16 = New slope (in Solve for General adder rate (p/kWh))"/>
    <hyperlink ref="A3961" location="'CDCM'!K3969" display="x17 = Location (ordered) (in Solve for General adder rate (p/kWh))"/>
    <hyperlink ref="A3962" location="'CDCM'!E3969" display="x18 = Starting values (in Solve for General adder rate (p/kWh))"/>
    <hyperlink ref="A3963" location="'CDCM'!C3829" display="x19 = 3402. Revenue shortfall (surplus) £ (in Revenue surplus or shortfall)"/>
    <hyperlink ref="A3964" location="'CDCM'!B3929" display="x20 = 3503. Constraint-free solution"/>
    <hyperlink ref="A3965" location="'CDCM'!M3969" display="x21 = Value (in Solve for General adder rate (p/kWh))"/>
    <hyperlink ref="A4073" location="'CDCM'!N3969" display="x1 = 3505. Root (in Solve for General adder rate (p/kWh))"/>
    <hyperlink ref="A4081" location="'CDCM'!B979" display="x1 = 2302. Load coefficient"/>
    <hyperlink ref="A4082" location="'CDCM'!B4076" display="x2 = 3506. General adder rate (p/kWh)"/>
    <hyperlink ref="A4083" location="'CDCM'!B3842" display="x3 = 3501. Adder threshold for Unit rate 1 p/kWh (in Adder value at which the minimum is breached)"/>
    <hyperlink ref="A4084" location="'CDCM'!C3842" display="x4 = 3501. Adder threshold for Unit rate 2 p/kWh (in Adder value at which the minimum is breached)"/>
    <hyperlink ref="A4085" location="'CDCM'!D3842" display="x5 = 3501. Adder threshold for Unit rate 3 p/kWh (in Adder value at which the minimum is breached)"/>
    <hyperlink ref="A4086" location="'CDCM'!B4095" display="x6 = Adder on Unit rate 1 p/kWh (in Adder)"/>
    <hyperlink ref="A4087" location="'CDCM'!B1267" display="x7 = 2305. Rate 1 units (MWh) (in Equivalent volume for each end user)"/>
    <hyperlink ref="A4088" location="'CDCM'!C4095" display="x8 = Adder on Unit rate 2 p/kWh (in Adder)"/>
    <hyperlink ref="A4089" location="'CDCM'!C1267" display="x9 = 2305. Rate 2 units (MWh) (in Equivalent volume for each end user)"/>
    <hyperlink ref="A4090" location="'CDCM'!D4095" display="x10 = Adder on Unit rate 3 p/kWh (in Adder)"/>
    <hyperlink ref="A4091" location="'CDCM'!D1267" display="x11 = 2305. Rate 3 units (MWh) (in Equivalent volume for each end user)"/>
    <hyperlink ref="A4134" location="'CDCM'!B3730" display="x1 = 3308. Unit rate 1 p/kWh (total) (in Summary of charges before revenue matching)"/>
    <hyperlink ref="A4135" location="'CDCM'!B4095" display="x2 = 3507. Adder on Unit rate 1 p/kWh (in Adder)"/>
    <hyperlink ref="A4136" location="'CDCM'!C3730" display="x3 = 3308. Unit rate 2 p/kWh (total) (in Summary of charges before revenue matching)"/>
    <hyperlink ref="A4137" location="'CDCM'!C4095" display="x4 = 3507. Adder on Unit rate 2 p/kWh (in Adder)"/>
    <hyperlink ref="A4138" location="'CDCM'!D3730" display="x5 = 3308. Unit rate 3 p/kWh (total) (in Summary of charges before revenue matching)"/>
    <hyperlink ref="A4139" location="'CDCM'!D4095" display="x6 = 3507. Adder on Unit rate 3 p/kWh (in Adder)"/>
    <hyperlink ref="A4140" location="'CDCM'!E3730" display="x7 = 3308. Fixed charge p/MPAN/day (total) (in Summary of charges before revenue matching)"/>
    <hyperlink ref="A4141" location="'CDCM'!F3730" display="x8 = 3308. Capacity charge p/kVA/day (total) (in Summary of charges before revenue matching)"/>
    <hyperlink ref="A4142" location="'CDCM'!G3730" display="x9 = 3308. Exceeded capacity charge p/kVA/day (total) (in Summary of charges before revenue matching)"/>
    <hyperlink ref="A4143" location="'CDCM'!H3730" display="x10 = 3308. Reactive power charge p/kVArh (in Summary of charges before revenue matching)"/>
    <hyperlink ref="A4189" location="'CDCM'!B4147" display="x1 = 3601. Unit rate 1 p/kWh before rounding (in Tariffs before rounding)"/>
    <hyperlink ref="A4190" location="'CDCM'!B4184" display="x2 = 3602. Unit rate 1 p/kWh decimal places (in Decimal places)"/>
    <hyperlink ref="A4191" location="'CDCM'!C4147" display="x3 = 3601. Unit rate 2 p/kWh before rounding (in Tariffs before rounding)"/>
    <hyperlink ref="A4192" location="'CDCM'!C4184" display="x4 = 3602. Unit rate 2 p/kWh decimal places (in Decimal places)"/>
    <hyperlink ref="A4193" location="'CDCM'!D4147" display="x5 = 3601. Unit rate 3 p/kWh before rounding (in Tariffs before rounding)"/>
    <hyperlink ref="A4194" location="'CDCM'!D4184" display="x6 = 3602. Unit rate 3 p/kWh decimal places (in Decimal places)"/>
    <hyperlink ref="A4195" location="'CDCM'!E4147" display="x7 = 3601. Fixed charge p/MPAN/day before rounding (in Tariffs before rounding)"/>
    <hyperlink ref="A4196" location="'CDCM'!E4184" display="x8 = 3602. Fixed charge p/MPAN/day decimal places (in Decimal places)"/>
    <hyperlink ref="A4197" location="'CDCM'!F4147" display="x9 = 3601. Capacity charge p/kVA/day before rounding (in Tariffs before rounding)"/>
    <hyperlink ref="A4198" location="'CDCM'!F4184" display="x10 = 3602. Capacity charge p/kVA/day decimal places (in Decimal places)"/>
    <hyperlink ref="A4199" location="'CDCM'!G4147" display="x11 = 3601. Exceeded capacity charge p/kVA/day before rounding (in Tariffs before rounding)"/>
    <hyperlink ref="A4200" location="'CDCM'!G4184" display="x12 = 3602. Exceeded capacity charge p/kVA/day decimal places (in Decimal places)"/>
    <hyperlink ref="A4201" location="'CDCM'!H4147" display="x13 = 3601. Reactive power charge p/kVArh before rounding (in Tariffs before rounding)"/>
    <hyperlink ref="A4202" location="'CDCM'!H4184" display="x14 = 3602. Reactive power charge p/kVArh decimal places (in Decimal places)"/>
    <hyperlink ref="A4243" location="'CDCM'!B4147" display="x1 = 3601. Unit rate 1 p/kWh before rounding (in Tariffs before rounding)"/>
    <hyperlink ref="A4244" location="'CDCM'!B4206" display="x2 = 3603. Unit rate 1 p/kWh rounding (in Tariff rounding)"/>
    <hyperlink ref="A4245" location="'CDCM'!C4147" display="x3 = 3601. Unit rate 2 p/kWh before rounding (in Tariffs before rounding)"/>
    <hyperlink ref="A4246" location="'CDCM'!C4206" display="x4 = 3603. Unit rate 2 p/kWh rounding (in Tariff rounding)"/>
    <hyperlink ref="A4247" location="'CDCM'!D4147" display="x5 = 3601. Unit rate 3 p/kWh before rounding (in Tariffs before rounding)"/>
    <hyperlink ref="A4248" location="'CDCM'!D4206" display="x6 = 3603. Unit rate 3 p/kWh rounding (in Tariff rounding)"/>
    <hyperlink ref="A4249" location="'CDCM'!E4147" display="x7 = 3601. Fixed charge p/MPAN/day before rounding (in Tariffs before rounding)"/>
    <hyperlink ref="A4250" location="'CDCM'!E4206" display="x8 = 3603. Fixed charge p/MPAN/day rounding (in Tariff rounding)"/>
    <hyperlink ref="A4251" location="'CDCM'!F4147" display="x9 = 3601. Capacity charge p/kVA/day before rounding (in Tariffs before rounding)"/>
    <hyperlink ref="A4252" location="'CDCM'!F4206" display="x10 = 3603. Capacity charge p/kVA/day rounding (in Tariff rounding)"/>
    <hyperlink ref="A4253" location="'CDCM'!G4147" display="x11 = 3601. Exceeded capacity charge p/kVA/day before rounding (in Tariffs before rounding)"/>
    <hyperlink ref="A4254" location="'CDCM'!G4206" display="x12 = 3603. Exceeded capacity charge p/kVA/day rounding (in Tariff rounding)"/>
    <hyperlink ref="A4255" location="'CDCM'!H4147" display="x13 = 3601. Reactive power charge p/kVArh before rounding (in Tariffs before rounding)"/>
    <hyperlink ref="A4256" location="'CDCM'!H4206" display="x14 = 3603. Reactive power charge p/kVArh rounding (in Tariff rounding)"/>
    <hyperlink ref="A4297" location="'CDCM'!F13" display="x1 = 1010. Days in the charging year (in Financial and general assumptions)"/>
    <hyperlink ref="A4298" location="'CDCM'!E4206" display="x2 = 3603. Fixed charge p/MPAN/day rounding (in Tariff rounding)"/>
    <hyperlink ref="A4299" location="'CDCM'!E1267" display="x3 = 2305. MPANs (in Equivalent volume for each end user)"/>
    <hyperlink ref="A4300" location="'CDCM'!F4206" display="x4 = 3603. Capacity charge p/kVA/day rounding (in Tariff rounding)"/>
    <hyperlink ref="A4301" location="'CDCM'!F1267" display="x5 = 2305. Import capacity (kVA) (in Equivalent volume for each end user)"/>
    <hyperlink ref="A4302" location="'CDCM'!G4206" display="x6 = 3603. Exceeded capacity charge p/kVA/day rounding (in Tariff rounding)"/>
    <hyperlink ref="A4303" location="'CDCM'!G1267" display="x7 = 2305. Exceeded capacity (kVA) (in Equivalent volume for each end user)"/>
    <hyperlink ref="A4304" location="'CDCM'!B4206" display="x8 = 3603. Unit rate 1 p/kWh rounding (in Tariff rounding)"/>
    <hyperlink ref="A4305" location="'CDCM'!B1267" display="x9 = 2305. Rate 1 units (MWh) (in Equivalent volume for each end user)"/>
    <hyperlink ref="A4306" location="'CDCM'!C4206" display="x10 = 3603. Unit rate 2 p/kWh rounding (in Tariff rounding)"/>
    <hyperlink ref="A4307" location="'CDCM'!C1267" display="x11 = 2305. Rate 2 units (MWh) (in Equivalent volume for each end user)"/>
    <hyperlink ref="A4308" location="'CDCM'!D4206" display="x12 = 3603. Unit rate 3 p/kWh rounding (in Tariff rounding)"/>
    <hyperlink ref="A4309" location="'CDCM'!D1267" display="x13 = 2305. Rate 3 units (MWh) (in Equivalent volume for each end user)"/>
    <hyperlink ref="A4310" location="'CDCM'!H4206" display="x14 = 3603. Reactive power charge p/kVArh rounding (in Tariff rounding)"/>
    <hyperlink ref="A4311" location="'CDCM'!H1267" display="x15 = 2305. Reactive power units (MVArh) (in Equivalent volume for each end user)"/>
    <hyperlink ref="A4351" location="'CDCM'!B3829" display="x1 = 3402. Total net revenues before matching (£) (in Revenue surplus or shortfall)"/>
    <hyperlink ref="A4352" location="'CDCM'!E4095" display="x2 = 3507. Net revenues by tariff from adder (in Adder)"/>
    <hyperlink ref="A4353" location="'CDCM'!B4314" display="x3 = 3605. Net revenues by tariff from rounding"/>
    <hyperlink ref="A4354" location="'CDCM'!B4362" display="x4 = Total net revenues before matching (£) (in Revenue forecast summary)"/>
    <hyperlink ref="A4355" location="'CDCM'!C4362" display="x5 = Total net revenues from adder (£) (in Revenue forecast summary)"/>
    <hyperlink ref="A4356" location="'CDCM'!D4362" display="x6 = Total net revenues from rounding (£) (in Revenue forecast summary)"/>
    <hyperlink ref="A4357" location="'CDCM'!E4362" display="x7 = Total net revenues (£) (in Revenue forecast summary)"/>
    <hyperlink ref="A4358" location="'CDCM'!B342" display="x8 = 1076. Target CDCM net revenue (£/year)"/>
    <hyperlink ref="A4367" location="'CDCM'!B4260" display="x1 = 3604. Unit rate 1 p/kWh (in All the way tariffs)"/>
    <hyperlink ref="A4368" location="'CDCM'!B1144" display="x2 = 2304. Discount for each tariff (except for fixed charges) (in LDNO discounts and volumes adjusted for discount)"/>
    <hyperlink ref="A4369" location="'CDCM'!C4260" display="x3 = 3604. Unit rate 2 p/kWh (in All the way tariffs)"/>
    <hyperlink ref="A4370" location="'CDCM'!D4260" display="x4 = 3604. Unit rate 3 p/kWh (in All the way tariffs)"/>
    <hyperlink ref="A4371" location="'CDCM'!E4260" display="x5 = 3604. Fixed charge p/MPAN/day (in All the way tariffs)"/>
    <hyperlink ref="A4372" location="'CDCM'!C1144" display="x6 = 2304. Discount for each tariff for fixed charges only (in LDNO discounts and volumes adjusted for discount)"/>
    <hyperlink ref="A4373" location="'CDCM'!F4260" display="x7 = 3604. Capacity charge p/kVA/day (in All the way tariffs)"/>
    <hyperlink ref="A4374" location="'CDCM'!G4260" display="x8 = 3604. Exceeded capacity charge p/kVA/day (in All the way tariffs)"/>
    <hyperlink ref="A4375" location="'CDCM'!H4260" display="x9 = 3604. Reactive power charge p/kVArh (in All the way tariffs)"/>
  </hyperlinks>
  <pageMargins left="0.7" right="0.7" top="0.75" bottom="0.75" header="0.3" footer="0.3"/>
  <pageSetup paperSize="9" fitToHeight="0" orientation="landscape"/>
  <headerFooter>
    <oddHeader>&amp;L&amp;A&amp;C&amp;R&amp;P of &amp;N</oddHeader>
    <oddFooter>&amp;F</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1"/>
  </sheetPr>
  <dimension ref="B3:B15"/>
  <sheetViews>
    <sheetView showGridLines="0" workbookViewId="0"/>
  </sheetViews>
  <sheetFormatPr defaultColWidth="8.85546875" defaultRowHeight="12.75"/>
  <cols>
    <col min="1" max="1" width="8.85546875" style="26"/>
    <col min="2" max="2" width="70.85546875" style="26" customWidth="1"/>
    <col min="3" max="16384" width="8.85546875" style="26"/>
  </cols>
  <sheetData>
    <row r="3" spans="2:2" ht="20.25">
      <c r="B3" s="30" t="str">
        <f>'CDCM Forecast Data'!E3</f>
        <v>WPD South West</v>
      </c>
    </row>
    <row r="6" spans="2:2">
      <c r="B6" s="27"/>
    </row>
    <row r="7" spans="2:2">
      <c r="B7" s="29"/>
    </row>
    <row r="8" spans="2:2">
      <c r="B8" s="27"/>
    </row>
    <row r="9" spans="2:2">
      <c r="B9" s="28"/>
    </row>
    <row r="10" spans="2:2">
      <c r="B10" s="27"/>
    </row>
    <row r="15" spans="2:2">
      <c r="B15" s="27"/>
    </row>
  </sheetData>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pageSetUpPr fitToPage="1"/>
  </sheetPr>
  <dimension ref="A1:J271"/>
  <sheetViews>
    <sheetView showGridLines="0" topLeftCell="A7" workbookViewId="0">
      <selection activeCell="D13" sqref="D13:I13"/>
    </sheetView>
  </sheetViews>
  <sheetFormatPr defaultColWidth="8.85546875" defaultRowHeight="12.75"/>
  <cols>
    <col min="1" max="1" width="4.140625" style="68" bestFit="1" customWidth="1"/>
    <col min="2" max="2" width="82.7109375" style="68" customWidth="1"/>
    <col min="3" max="9" width="16" style="70" customWidth="1"/>
    <col min="10" max="10" width="73.42578125" style="69" bestFit="1" customWidth="1"/>
    <col min="11" max="16384" width="8.85546875" style="68"/>
  </cols>
  <sheetData>
    <row r="1" spans="1:10">
      <c r="C1" s="68"/>
      <c r="D1" s="68"/>
      <c r="E1" s="68"/>
      <c r="F1" s="68"/>
      <c r="G1" s="68"/>
      <c r="H1" s="68"/>
      <c r="I1" s="68"/>
    </row>
    <row r="2" spans="1:10">
      <c r="C2" s="68"/>
      <c r="D2" s="68"/>
      <c r="E2" s="68"/>
      <c r="F2" s="68"/>
      <c r="G2" s="68"/>
      <c r="H2" s="68"/>
      <c r="I2" s="68"/>
    </row>
    <row r="3" spans="1:10" ht="15.75">
      <c r="C3" s="68"/>
      <c r="D3" s="120" t="s">
        <v>1008</v>
      </c>
      <c r="E3" s="321" t="str">
        <f>'[2]CDCM Forecast Data'!E3:F3</f>
        <v>WPD South West</v>
      </c>
      <c r="F3" s="321"/>
      <c r="G3" s="68"/>
      <c r="H3" s="68"/>
      <c r="I3" s="68"/>
    </row>
    <row r="4" spans="1:10" ht="15.75">
      <c r="C4" s="68"/>
      <c r="D4" s="120" t="s">
        <v>1007</v>
      </c>
      <c r="E4" s="322">
        <f>'[2]CDCM Forecast Data'!E4:F4</f>
        <v>42736</v>
      </c>
      <c r="F4" s="323"/>
      <c r="G4" s="68"/>
      <c r="H4" s="68"/>
      <c r="I4" s="68"/>
    </row>
    <row r="5" spans="1:10" ht="15.75">
      <c r="C5" s="68"/>
      <c r="D5" s="120" t="s">
        <v>1069</v>
      </c>
      <c r="E5" s="322" t="str">
        <f>'[2]CDCM Forecast Data'!E5:F5</f>
        <v>ARP</v>
      </c>
      <c r="F5" s="323"/>
      <c r="G5" s="68"/>
      <c r="H5" s="68"/>
      <c r="I5" s="68"/>
    </row>
    <row r="6" spans="1:10">
      <c r="C6" s="68"/>
      <c r="D6" s="68"/>
      <c r="E6" s="68"/>
      <c r="F6" s="68"/>
      <c r="G6" s="68"/>
      <c r="H6" s="68"/>
      <c r="I6" s="68"/>
    </row>
    <row r="8" spans="1:10" ht="18.75">
      <c r="B8" s="119"/>
      <c r="C8" s="68"/>
      <c r="D8" s="68"/>
      <c r="E8" s="68"/>
      <c r="F8" s="68"/>
      <c r="G8" s="68"/>
      <c r="H8" s="68"/>
      <c r="I8" s="68"/>
    </row>
    <row r="9" spans="1:10" ht="25.5">
      <c r="B9" s="110"/>
      <c r="C9" s="324" t="s">
        <v>1068</v>
      </c>
      <c r="D9" s="324"/>
      <c r="E9" s="111" t="str">
        <f>"CDCM Values - "&amp;E5</f>
        <v>CDCM Values - ARP</v>
      </c>
      <c r="F9" s="324" t="s">
        <v>1067</v>
      </c>
      <c r="G9" s="324"/>
      <c r="H9" s="324"/>
      <c r="I9" s="324"/>
    </row>
    <row r="10" spans="1:10">
      <c r="B10" s="118" t="s">
        <v>1066</v>
      </c>
      <c r="C10" s="117" t="s">
        <v>1065</v>
      </c>
      <c r="D10" s="117" t="s">
        <v>1064</v>
      </c>
      <c r="E10" s="117" t="s">
        <v>1063</v>
      </c>
      <c r="F10" s="117" t="s">
        <v>1062</v>
      </c>
      <c r="G10" s="117" t="s">
        <v>1061</v>
      </c>
      <c r="H10" s="117" t="s">
        <v>1060</v>
      </c>
      <c r="I10" s="117" t="s">
        <v>1059</v>
      </c>
    </row>
    <row r="11" spans="1:10" s="110" customFormat="1" ht="62.25" customHeight="1">
      <c r="B11" s="116" t="s">
        <v>1058</v>
      </c>
      <c r="C11" s="115" t="s">
        <v>1057</v>
      </c>
      <c r="D11" s="115" t="s">
        <v>1056</v>
      </c>
      <c r="E11" s="115" t="s">
        <v>1412</v>
      </c>
      <c r="F11" s="115" t="s">
        <v>1413</v>
      </c>
      <c r="G11" s="115" t="s">
        <v>1414</v>
      </c>
      <c r="H11" s="115" t="s">
        <v>1415</v>
      </c>
      <c r="I11" s="115" t="s">
        <v>1734</v>
      </c>
      <c r="J11" s="114"/>
    </row>
    <row r="12" spans="1:10" s="105" customFormat="1" ht="12.75" customHeight="1">
      <c r="A12" s="110"/>
      <c r="B12" s="113" t="s">
        <v>1055</v>
      </c>
      <c r="C12" s="112" t="s">
        <v>1054</v>
      </c>
      <c r="D12" s="112" t="s">
        <v>1054</v>
      </c>
      <c r="E12" s="112" t="s">
        <v>1054</v>
      </c>
      <c r="F12" s="112" t="s">
        <v>1054</v>
      </c>
      <c r="G12" s="112" t="s">
        <v>1054</v>
      </c>
      <c r="H12" s="112" t="s">
        <v>1054</v>
      </c>
      <c r="I12" s="112" t="s">
        <v>1054</v>
      </c>
      <c r="J12" s="111" t="s">
        <v>1019</v>
      </c>
    </row>
    <row r="13" spans="1:10" s="105" customFormat="1" ht="33.75" customHeight="1">
      <c r="A13" s="110"/>
      <c r="B13" s="109" t="s">
        <v>1053</v>
      </c>
      <c r="C13" s="108"/>
      <c r="D13" s="107">
        <f>'[3]Table 1'!E3</f>
        <v>3.1278748850046112E-2</v>
      </c>
      <c r="E13" s="107">
        <f>'[3]Table 1'!F3</f>
        <v>3.0330062444246186E-2</v>
      </c>
      <c r="F13" s="107">
        <f>'[3]Table 1'!G3</f>
        <v>3.0303030303030276E-2</v>
      </c>
      <c r="G13" s="107">
        <f>'[3]Table 1'!H3</f>
        <v>3.1092436974790028E-2</v>
      </c>
      <c r="H13" s="107">
        <f>'[3]Table 1'!I3</f>
        <v>2.9339853300733409E-2</v>
      </c>
      <c r="I13" s="107">
        <f>'[3]Table 1'!J3</f>
        <v>3.0878859857482288E-2</v>
      </c>
      <c r="J13" s="106"/>
    </row>
    <row r="14" spans="1:10">
      <c r="A14" s="68">
        <v>1</v>
      </c>
      <c r="B14" s="73" t="s">
        <v>1052</v>
      </c>
      <c r="C14" s="72"/>
      <c r="D14" s="72"/>
      <c r="E14" s="72"/>
      <c r="F14" s="72"/>
      <c r="G14" s="72"/>
      <c r="H14" s="72"/>
      <c r="I14" s="72"/>
      <c r="J14" s="71"/>
    </row>
    <row r="15" spans="1:10">
      <c r="A15" s="68">
        <v>2</v>
      </c>
      <c r="B15" s="99" t="s">
        <v>1</v>
      </c>
      <c r="C15" s="98">
        <f>'[2]CDCM Forecast Data'!C15</f>
        <v>0</v>
      </c>
      <c r="D15" s="98"/>
      <c r="E15" s="98"/>
      <c r="F15" s="98"/>
      <c r="G15" s="98"/>
      <c r="H15" s="98"/>
      <c r="I15" s="98"/>
      <c r="J15" s="74"/>
    </row>
    <row r="16" spans="1:10">
      <c r="A16" s="68">
        <v>3</v>
      </c>
      <c r="B16" s="99" t="s">
        <v>2</v>
      </c>
      <c r="C16" s="104"/>
      <c r="D16" s="104"/>
      <c r="E16" s="104"/>
      <c r="F16" s="104"/>
      <c r="G16" s="104"/>
      <c r="H16" s="104"/>
      <c r="I16" s="104"/>
      <c r="J16" s="103"/>
    </row>
    <row r="17" spans="1:10">
      <c r="A17" s="68">
        <v>4</v>
      </c>
      <c r="B17" s="99" t="s">
        <v>3</v>
      </c>
      <c r="C17" s="101"/>
      <c r="D17" s="101"/>
      <c r="E17" s="102"/>
      <c r="F17" s="101"/>
      <c r="G17" s="101"/>
      <c r="H17" s="101"/>
      <c r="I17" s="101"/>
      <c r="J17" s="74"/>
    </row>
    <row r="18" spans="1:10">
      <c r="A18" s="68">
        <v>5</v>
      </c>
      <c r="B18" s="73" t="s">
        <v>1051</v>
      </c>
      <c r="C18" s="72"/>
      <c r="D18" s="72"/>
      <c r="E18" s="72"/>
      <c r="F18" s="72"/>
      <c r="G18" s="72"/>
      <c r="H18" s="72"/>
      <c r="I18" s="72"/>
      <c r="J18" s="71"/>
    </row>
    <row r="19" spans="1:10" ht="12.75" customHeight="1">
      <c r="A19" s="68">
        <v>6</v>
      </c>
      <c r="B19" s="77" t="s">
        <v>10</v>
      </c>
      <c r="C19" s="81">
        <f>'[2]CDCM Forecast Data'!C19</f>
        <v>4.3499999999999997E-2</v>
      </c>
      <c r="D19" s="81">
        <f>'[2]CDCM Forecast Data'!D19</f>
        <v>4.3099999999999999E-2</v>
      </c>
      <c r="E19" s="81">
        <f>'[2]CDCM Forecast Data'!E19</f>
        <v>4.2099999999999999E-2</v>
      </c>
      <c r="F19" s="81">
        <f>'[2]CDCM Forecast Data'!F19</f>
        <v>4.2099999999999999E-2</v>
      </c>
      <c r="G19" s="81">
        <f>'[2]CDCM Forecast Data'!G19</f>
        <v>4.2099999999999999E-2</v>
      </c>
      <c r="H19" s="81">
        <f>'[2]CDCM Forecast Data'!H19</f>
        <v>4.2099999999999999E-2</v>
      </c>
      <c r="I19" s="81">
        <f>'[2]CDCM Forecast Data'!I19</f>
        <v>4.2099999999999999E-2</v>
      </c>
      <c r="J19" s="100"/>
    </row>
    <row r="20" spans="1:10">
      <c r="A20" s="68">
        <v>7</v>
      </c>
      <c r="B20" s="77" t="s">
        <v>11</v>
      </c>
      <c r="C20" s="94">
        <f>'[2]CDCM Forecast Data'!C20</f>
        <v>40</v>
      </c>
      <c r="D20" s="94">
        <f>'[2]CDCM Forecast Data'!D20</f>
        <v>40</v>
      </c>
      <c r="E20" s="94">
        <f>'[2]CDCM Forecast Data'!E20</f>
        <v>40</v>
      </c>
      <c r="F20" s="94">
        <f>'[2]CDCM Forecast Data'!F20</f>
        <v>40</v>
      </c>
      <c r="G20" s="94">
        <f>'[2]CDCM Forecast Data'!G20</f>
        <v>40</v>
      </c>
      <c r="H20" s="94">
        <f>'[2]CDCM Forecast Data'!H20</f>
        <v>40</v>
      </c>
      <c r="I20" s="94">
        <f>'[2]CDCM Forecast Data'!I20</f>
        <v>40</v>
      </c>
      <c r="J20" s="74"/>
    </row>
    <row r="21" spans="1:10">
      <c r="A21" s="68">
        <v>8</v>
      </c>
      <c r="B21" s="77" t="s">
        <v>13</v>
      </c>
      <c r="C21" s="98">
        <f>'[2]CDCM Forecast Data'!C21</f>
        <v>0.95</v>
      </c>
      <c r="D21" s="98">
        <f>'[2]CDCM Forecast Data'!D21</f>
        <v>0.95</v>
      </c>
      <c r="E21" s="98">
        <f>'[2]CDCM Forecast Data'!E21</f>
        <v>0.95</v>
      </c>
      <c r="F21" s="98">
        <f>'[2]CDCM Forecast Data'!F21</f>
        <v>0.95</v>
      </c>
      <c r="G21" s="98">
        <f>'[2]CDCM Forecast Data'!G21</f>
        <v>0.95</v>
      </c>
      <c r="H21" s="98">
        <f>'[2]CDCM Forecast Data'!H21</f>
        <v>0.95</v>
      </c>
      <c r="I21" s="98">
        <f>'[2]CDCM Forecast Data'!I21</f>
        <v>0.95</v>
      </c>
      <c r="J21" s="74"/>
    </row>
    <row r="22" spans="1:10">
      <c r="A22" s="68">
        <v>9</v>
      </c>
      <c r="B22" s="77" t="s">
        <v>1050</v>
      </c>
      <c r="C22" s="94">
        <f>'[2]CDCM Forecast Data'!C22</f>
        <v>365</v>
      </c>
      <c r="D22" s="94">
        <f>'[2]CDCM Forecast Data'!D22</f>
        <v>365</v>
      </c>
      <c r="E22" s="94">
        <f>'[2]CDCM Forecast Data'!E22</f>
        <v>365</v>
      </c>
      <c r="F22" s="94">
        <f>'[2]CDCM Forecast Data'!F22</f>
        <v>365</v>
      </c>
      <c r="G22" s="94">
        <f>'[2]CDCM Forecast Data'!G22</f>
        <v>366</v>
      </c>
      <c r="H22" s="94">
        <f>'[2]CDCM Forecast Data'!H22</f>
        <v>365</v>
      </c>
      <c r="I22" s="94">
        <f>'[2]CDCM Forecast Data'!I22</f>
        <v>365</v>
      </c>
      <c r="J22" s="74"/>
    </row>
    <row r="23" spans="1:10">
      <c r="A23" s="68">
        <v>10</v>
      </c>
      <c r="B23" s="73" t="s">
        <v>1049</v>
      </c>
      <c r="C23" s="72"/>
      <c r="D23" s="72"/>
      <c r="E23" s="72"/>
      <c r="F23" s="72"/>
      <c r="G23" s="72"/>
      <c r="H23" s="72"/>
      <c r="I23" s="72"/>
      <c r="J23" s="71"/>
    </row>
    <row r="24" spans="1:10" ht="15" customHeight="1">
      <c r="A24" s="68">
        <v>11</v>
      </c>
      <c r="B24" s="99" t="s">
        <v>22</v>
      </c>
      <c r="C24" s="98">
        <f>'[2]CDCM Forecast Data'!C24</f>
        <v>2.1999999999999999E-2</v>
      </c>
      <c r="D24" s="98">
        <f>'[2]CDCM Forecast Data'!D24</f>
        <v>2.1999999999999999E-2</v>
      </c>
      <c r="E24" s="81">
        <f>'[2]CDCM Forecast Data'!E24</f>
        <v>2.1999999999999999E-2</v>
      </c>
      <c r="F24" s="243">
        <f>'[2]CDCM Forecast Data'!F24</f>
        <v>2.1999999999999999E-2</v>
      </c>
      <c r="G24" s="243">
        <f>'[2]CDCM Forecast Data'!G24</f>
        <v>2.1999999999999999E-2</v>
      </c>
      <c r="H24" s="243">
        <f>'[2]CDCM Forecast Data'!H24</f>
        <v>2.1999999999999999E-2</v>
      </c>
      <c r="I24" s="243">
        <f>'[2]CDCM Forecast Data'!I24</f>
        <v>2.1999999999999999E-2</v>
      </c>
      <c r="J24" s="74"/>
    </row>
    <row r="25" spans="1:10">
      <c r="A25" s="68">
        <v>12</v>
      </c>
      <c r="B25" s="99" t="s">
        <v>23</v>
      </c>
      <c r="C25" s="98">
        <f>'[2]CDCM Forecast Data'!C25</f>
        <v>3.1E-2</v>
      </c>
      <c r="D25" s="98">
        <f>'[2]CDCM Forecast Data'!D25</f>
        <v>3.1E-2</v>
      </c>
      <c r="E25" s="81">
        <f>'[2]CDCM Forecast Data'!E25</f>
        <v>3.1E-2</v>
      </c>
      <c r="F25" s="243">
        <f>'[2]CDCM Forecast Data'!F25</f>
        <v>3.1E-2</v>
      </c>
      <c r="G25" s="243">
        <f>'[2]CDCM Forecast Data'!G25</f>
        <v>3.1E-2</v>
      </c>
      <c r="H25" s="243">
        <f>'[2]CDCM Forecast Data'!H25</f>
        <v>3.1E-2</v>
      </c>
      <c r="I25" s="243">
        <f>'[2]CDCM Forecast Data'!I25</f>
        <v>3.1E-2</v>
      </c>
      <c r="J25" s="74"/>
    </row>
    <row r="26" spans="1:10">
      <c r="A26" s="68">
        <v>13</v>
      </c>
      <c r="B26" s="99" t="s">
        <v>25</v>
      </c>
      <c r="C26" s="98">
        <f>'[2]CDCM Forecast Data'!C26</f>
        <v>7.4999999999999997E-2</v>
      </c>
      <c r="D26" s="98">
        <f>'[2]CDCM Forecast Data'!D26</f>
        <v>7.4999999999999997E-2</v>
      </c>
      <c r="E26" s="81">
        <f>'[2]CDCM Forecast Data'!E26</f>
        <v>7.4999999999999997E-2</v>
      </c>
      <c r="F26" s="243">
        <f>'[2]CDCM Forecast Data'!F26</f>
        <v>7.4999999999999997E-2</v>
      </c>
      <c r="G26" s="243">
        <f>'[2]CDCM Forecast Data'!G26</f>
        <v>7.4999999999999997E-2</v>
      </c>
      <c r="H26" s="243">
        <f>'[2]CDCM Forecast Data'!H26</f>
        <v>7.4999999999999997E-2</v>
      </c>
      <c r="I26" s="243">
        <f>'[2]CDCM Forecast Data'!I26</f>
        <v>7.4999999999999997E-2</v>
      </c>
      <c r="J26" s="74"/>
    </row>
    <row r="27" spans="1:10">
      <c r="A27" s="68">
        <v>14</v>
      </c>
      <c r="B27" s="99" t="s">
        <v>27</v>
      </c>
      <c r="C27" s="98">
        <f>'[2]CDCM Forecast Data'!C27</f>
        <v>0.37</v>
      </c>
      <c r="D27" s="98">
        <f>'[2]CDCM Forecast Data'!D27</f>
        <v>0.37</v>
      </c>
      <c r="E27" s="81">
        <f>'[2]CDCM Forecast Data'!E27</f>
        <v>0.37</v>
      </c>
      <c r="F27" s="243">
        <f>'[2]CDCM Forecast Data'!F27</f>
        <v>0.37</v>
      </c>
      <c r="G27" s="243">
        <f>'[2]CDCM Forecast Data'!G27</f>
        <v>0.37</v>
      </c>
      <c r="H27" s="243">
        <f>'[2]CDCM Forecast Data'!H27</f>
        <v>0.37</v>
      </c>
      <c r="I27" s="243">
        <f>'[2]CDCM Forecast Data'!I27</f>
        <v>0.37</v>
      </c>
      <c r="J27" s="74"/>
    </row>
    <row r="28" spans="1:10">
      <c r="A28" s="68">
        <v>15</v>
      </c>
      <c r="B28" s="73" t="s">
        <v>1048</v>
      </c>
      <c r="C28" s="98">
        <f>'[2]CDCM Forecast Data'!C28</f>
        <v>0</v>
      </c>
      <c r="D28" s="98">
        <f>'[2]CDCM Forecast Data'!D28</f>
        <v>0</v>
      </c>
      <c r="E28" s="81">
        <f>'[2]CDCM Forecast Data'!E28</f>
        <v>0</v>
      </c>
      <c r="F28" s="243">
        <f>'[2]CDCM Forecast Data'!F28</f>
        <v>0</v>
      </c>
      <c r="G28" s="243">
        <f>'[2]CDCM Forecast Data'!G28</f>
        <v>0</v>
      </c>
      <c r="H28" s="243">
        <f>'[2]CDCM Forecast Data'!H28</f>
        <v>0</v>
      </c>
      <c r="I28" s="243">
        <f>'[2]CDCM Forecast Data'!I28</f>
        <v>0</v>
      </c>
      <c r="J28" s="74"/>
    </row>
    <row r="29" spans="1:10">
      <c r="A29" s="68">
        <v>16</v>
      </c>
      <c r="B29" s="73" t="s">
        <v>1047</v>
      </c>
      <c r="C29" s="94">
        <f>'[2]CDCM Forecast Data'!C29</f>
        <v>500</v>
      </c>
      <c r="D29" s="94">
        <f>'[2]CDCM Forecast Data'!D29</f>
        <v>500</v>
      </c>
      <c r="E29" s="94">
        <f>'[2]CDCM Forecast Data'!E29</f>
        <v>500</v>
      </c>
      <c r="F29" s="244">
        <f>'[2]CDCM Forecast Data'!F29</f>
        <v>500</v>
      </c>
      <c r="G29" s="244">
        <f>'[2]CDCM Forecast Data'!G29</f>
        <v>500</v>
      </c>
      <c r="H29" s="244">
        <f>'[2]CDCM Forecast Data'!H29</f>
        <v>500</v>
      </c>
      <c r="I29" s="244">
        <f>'[2]CDCM Forecast Data'!I29</f>
        <v>500</v>
      </c>
      <c r="J29" s="74"/>
    </row>
    <row r="30" spans="1:10">
      <c r="A30" s="68">
        <v>17</v>
      </c>
      <c r="B30" s="83" t="s">
        <v>1046</v>
      </c>
      <c r="C30" s="72"/>
      <c r="D30" s="72"/>
      <c r="E30" s="72"/>
      <c r="F30" s="72"/>
      <c r="G30" s="72"/>
      <c r="H30" s="72"/>
      <c r="I30" s="72"/>
      <c r="J30" s="71"/>
    </row>
    <row r="31" spans="1:10" ht="12.75" customHeight="1">
      <c r="A31" s="68">
        <v>18</v>
      </c>
      <c r="B31" s="77" t="s">
        <v>23</v>
      </c>
      <c r="C31" s="79">
        <f>'[2]CDCM Forecast Data'!C31</f>
        <v>111419930.22635204</v>
      </c>
      <c r="D31" s="79">
        <f>'[2]CDCM Forecast Data'!D31</f>
        <v>114846093.08081236</v>
      </c>
      <c r="E31" s="78">
        <f>'[2]CDCM Forecast Data'!E31</f>
        <v>118377610.44304734</v>
      </c>
      <c r="F31" s="88">
        <f t="shared" ref="F31:I38" si="0">E31*(1+F$13)</f>
        <v>121964810.75950332</v>
      </c>
      <c r="G31" s="88">
        <f t="shared" si="0"/>
        <v>125756993.95118538</v>
      </c>
      <c r="H31" s="88">
        <f t="shared" si="0"/>
        <v>129446685.70525438</v>
      </c>
      <c r="I31" s="88">
        <f t="shared" si="0"/>
        <v>133443851.77216248</v>
      </c>
      <c r="J31" s="74"/>
    </row>
    <row r="32" spans="1:10">
      <c r="A32" s="68">
        <v>19</v>
      </c>
      <c r="B32" s="77" t="s">
        <v>24</v>
      </c>
      <c r="C32" s="79">
        <f>'[2]CDCM Forecast Data'!C32</f>
        <v>15781435.270080002</v>
      </c>
      <c r="D32" s="79">
        <f>'[2]CDCM Forecast Data'!D32</f>
        <v>16266714.404634964</v>
      </c>
      <c r="E32" s="78">
        <f>'[2]CDCM Forecast Data'!E32</f>
        <v>16766915.87257749</v>
      </c>
      <c r="F32" s="88">
        <f t="shared" si="0"/>
        <v>17275004.232352566</v>
      </c>
      <c r="G32" s="88">
        <f t="shared" si="0"/>
        <v>17812126.212686218</v>
      </c>
      <c r="H32" s="88">
        <f t="shared" si="0"/>
        <v>18334731.38274058</v>
      </c>
      <c r="I32" s="88">
        <f t="shared" si="0"/>
        <v>18900886.983632807</v>
      </c>
      <c r="J32" s="74"/>
    </row>
    <row r="33" spans="1:10">
      <c r="A33" s="68">
        <v>20</v>
      </c>
      <c r="B33" s="77" t="s">
        <v>25</v>
      </c>
      <c r="C33" s="79">
        <f>'[2]CDCM Forecast Data'!C33</f>
        <v>39840185.592</v>
      </c>
      <c r="D33" s="79">
        <f>'[2]CDCM Forecast Data'!D33</f>
        <v>41065271.298954003</v>
      </c>
      <c r="E33" s="78">
        <f>'[2]CDCM Forecast Data'!E33</f>
        <v>42328028.391396843</v>
      </c>
      <c r="F33" s="88">
        <f t="shared" si="0"/>
        <v>43610695.918408871</v>
      </c>
      <c r="G33" s="88">
        <f t="shared" si="0"/>
        <v>44966658.732678734</v>
      </c>
      <c r="H33" s="88">
        <f t="shared" si="0"/>
        <v>46285973.903319672</v>
      </c>
      <c r="I33" s="88">
        <f t="shared" si="0"/>
        <v>47715232.004847363</v>
      </c>
      <c r="J33" s="74"/>
    </row>
    <row r="34" spans="1:10">
      <c r="A34" s="68">
        <v>21</v>
      </c>
      <c r="B34" s="77" t="s">
        <v>26</v>
      </c>
      <c r="C34" s="79">
        <f>'[2]CDCM Forecast Data'!C34</f>
        <v>40041227.148720004</v>
      </c>
      <c r="D34" s="79">
        <f>'[2]CDCM Forecast Data'!D34</f>
        <v>41272494.883543149</v>
      </c>
      <c r="E34" s="78">
        <f>'[2]CDCM Forecast Data'!E34</f>
        <v>42541624.101212099</v>
      </c>
      <c r="F34" s="88">
        <f t="shared" si="0"/>
        <v>43830764.225491256</v>
      </c>
      <c r="G34" s="88">
        <f t="shared" si="0"/>
        <v>45193569.499729224</v>
      </c>
      <c r="H34" s="88">
        <f t="shared" si="0"/>
        <v>46519542.198987782</v>
      </c>
      <c r="I34" s="88">
        <f t="shared" si="0"/>
        <v>47956012.623184562</v>
      </c>
      <c r="J34" s="74"/>
    </row>
    <row r="35" spans="1:10">
      <c r="A35" s="68">
        <v>22</v>
      </c>
      <c r="B35" s="77" t="s">
        <v>31</v>
      </c>
      <c r="C35" s="79">
        <f>'[2]CDCM Forecast Data'!C35</f>
        <v>0</v>
      </c>
      <c r="D35" s="79">
        <f>'[2]CDCM Forecast Data'!D35</f>
        <v>0</v>
      </c>
      <c r="E35" s="78">
        <f>'[2]CDCM Forecast Data'!E35</f>
        <v>0</v>
      </c>
      <c r="F35" s="88">
        <f t="shared" si="0"/>
        <v>0</v>
      </c>
      <c r="G35" s="88">
        <f t="shared" si="0"/>
        <v>0</v>
      </c>
      <c r="H35" s="88">
        <f t="shared" si="0"/>
        <v>0</v>
      </c>
      <c r="I35" s="88">
        <f t="shared" si="0"/>
        <v>0</v>
      </c>
      <c r="J35" s="74"/>
    </row>
    <row r="36" spans="1:10">
      <c r="A36" s="68">
        <v>23</v>
      </c>
      <c r="B36" s="77" t="s">
        <v>27</v>
      </c>
      <c r="C36" s="79">
        <f>'[2]CDCM Forecast Data'!C36</f>
        <v>142603119.25752002</v>
      </c>
      <c r="D36" s="79">
        <f>'[2]CDCM Forecast Data'!D36</f>
        <v>146988165.17468876</v>
      </c>
      <c r="E36" s="78">
        <f>'[2]CDCM Forecast Data'!E36</f>
        <v>151508051.25381044</v>
      </c>
      <c r="F36" s="88">
        <f t="shared" si="0"/>
        <v>156099204.3221077</v>
      </c>
      <c r="G36" s="88">
        <f t="shared" si="0"/>
        <v>160952708.9943077</v>
      </c>
      <c r="H36" s="88">
        <f t="shared" si="0"/>
        <v>165675037.86455631</v>
      </c>
      <c r="I36" s="88">
        <f t="shared" si="0"/>
        <v>170790894.140659</v>
      </c>
      <c r="J36" s="74"/>
    </row>
    <row r="37" spans="1:10">
      <c r="A37" s="68">
        <v>24</v>
      </c>
      <c r="B37" s="77" t="s">
        <v>28</v>
      </c>
      <c r="C37" s="79">
        <f>'[2]CDCM Forecast Data'!C37</f>
        <v>60769296.656159997</v>
      </c>
      <c r="D37" s="79">
        <f>'[2]CDCM Forecast Data'!D37</f>
        <v>62637952.52833692</v>
      </c>
      <c r="E37" s="78">
        <f>'[2]CDCM Forecast Data'!E37</f>
        <v>64564069.568583287</v>
      </c>
      <c r="F37" s="88">
        <f t="shared" si="0"/>
        <v>66520556.52520702</v>
      </c>
      <c r="G37" s="88">
        <f t="shared" si="0"/>
        <v>68588842.736494973</v>
      </c>
      <c r="H37" s="88">
        <f t="shared" si="0"/>
        <v>70601229.320450813</v>
      </c>
      <c r="I37" s="88">
        <f t="shared" si="0"/>
        <v>72781314.786402985</v>
      </c>
      <c r="J37" s="74"/>
    </row>
    <row r="38" spans="1:10">
      <c r="A38" s="68">
        <v>25</v>
      </c>
      <c r="B38" s="77" t="s">
        <v>29</v>
      </c>
      <c r="C38" s="79">
        <f>'[2]CDCM Forecast Data'!C38</f>
        <v>130516403.43556802</v>
      </c>
      <c r="D38" s="79">
        <f>'[2]CDCM Forecast Data'!D38</f>
        <v>134529782.84121174</v>
      </c>
      <c r="E38" s="78">
        <f>'[2]CDCM Forecast Data'!E38</f>
        <v>138666573.66357902</v>
      </c>
      <c r="F38" s="88">
        <f t="shared" si="0"/>
        <v>142868591.04732382</v>
      </c>
      <c r="G38" s="88">
        <f t="shared" si="0"/>
        <v>147310723.71013978</v>
      </c>
      <c r="H38" s="88">
        <f t="shared" si="0"/>
        <v>151632798.73342016</v>
      </c>
      <c r="I38" s="88">
        <f t="shared" si="0"/>
        <v>156315046.67530727</v>
      </c>
      <c r="J38" s="74"/>
    </row>
    <row r="39" spans="1:10">
      <c r="A39" s="68">
        <v>26</v>
      </c>
      <c r="B39" s="73" t="s">
        <v>1045</v>
      </c>
      <c r="C39" s="72"/>
      <c r="D39" s="72"/>
      <c r="E39" s="72"/>
      <c r="F39" s="72"/>
      <c r="G39" s="72"/>
      <c r="H39" s="72"/>
      <c r="I39" s="72"/>
      <c r="J39" s="71"/>
    </row>
    <row r="40" spans="1:10" ht="12.75" customHeight="1">
      <c r="A40" s="68">
        <v>27</v>
      </c>
      <c r="B40" s="77" t="s">
        <v>37</v>
      </c>
      <c r="C40" s="79">
        <f>'[2]CDCM Forecast Data'!C40</f>
        <v>5105.1767199999995</v>
      </c>
      <c r="D40" s="79">
        <f>'[2]CDCM Forecast Data'!D40</f>
        <v>5262.1609041399997</v>
      </c>
      <c r="E40" s="78">
        <f>'[2]CDCM Forecast Data'!E40</f>
        <v>5423.9723519423051</v>
      </c>
      <c r="F40" s="88">
        <f t="shared" ref="F40:I47" si="1">E40*(1+F$13)</f>
        <v>5588.3351504860111</v>
      </c>
      <c r="G40" s="88">
        <f t="shared" si="1"/>
        <v>5762.0901089465015</v>
      </c>
      <c r="H40" s="88">
        <f t="shared" si="1"/>
        <v>5931.1489874485987</v>
      </c>
      <c r="I40" s="88">
        <f t="shared" si="1"/>
        <v>6114.2961058258716</v>
      </c>
      <c r="J40" s="74"/>
    </row>
    <row r="41" spans="1:10">
      <c r="A41" s="68">
        <v>28</v>
      </c>
      <c r="B41" s="77" t="s">
        <v>38</v>
      </c>
      <c r="C41" s="79">
        <f>'[2]CDCM Forecast Data'!C41</f>
        <v>574.28134</v>
      </c>
      <c r="D41" s="79">
        <f>'[2]CDCM Forecast Data'!D41</f>
        <v>591.94049120500006</v>
      </c>
      <c r="E41" s="78">
        <f>'[2]CDCM Forecast Data'!E41</f>
        <v>610.14266130955389</v>
      </c>
      <c r="F41" s="88">
        <f t="shared" si="1"/>
        <v>628.6318328643888</v>
      </c>
      <c r="G41" s="88">
        <f t="shared" si="1"/>
        <v>648.17752850807153</v>
      </c>
      <c r="H41" s="88">
        <f t="shared" si="1"/>
        <v>667.1949621073303</v>
      </c>
      <c r="I41" s="88">
        <f t="shared" si="1"/>
        <v>687.79718183986074</v>
      </c>
      <c r="J41" s="74"/>
    </row>
    <row r="42" spans="1:10">
      <c r="A42" s="68">
        <v>29</v>
      </c>
      <c r="B42" s="77" t="s">
        <v>39</v>
      </c>
      <c r="C42" s="79">
        <f>'[2]CDCM Forecast Data'!C42</f>
        <v>699.18343999999991</v>
      </c>
      <c r="D42" s="79">
        <f>'[2]CDCM Forecast Data'!D42</f>
        <v>720.68333077999989</v>
      </c>
      <c r="E42" s="78">
        <f>'[2]CDCM Forecast Data'!E42</f>
        <v>742.84434320148489</v>
      </c>
      <c r="F42" s="88">
        <f t="shared" si="1"/>
        <v>765.35477784395414</v>
      </c>
      <c r="G42" s="88">
        <f t="shared" si="1"/>
        <v>789.15152303742173</v>
      </c>
      <c r="H42" s="88">
        <f t="shared" si="1"/>
        <v>812.30511295538997</v>
      </c>
      <c r="I42" s="88">
        <f t="shared" si="1"/>
        <v>837.38816869985578</v>
      </c>
      <c r="J42" s="74"/>
    </row>
    <row r="43" spans="1:10">
      <c r="A43" s="68">
        <v>30</v>
      </c>
      <c r="B43" s="77" t="s">
        <v>40</v>
      </c>
      <c r="C43" s="79">
        <f>'[2]CDCM Forecast Data'!C43</f>
        <v>518.52839999999992</v>
      </c>
      <c r="D43" s="79">
        <f>'[2]CDCM Forecast Data'!D43</f>
        <v>534.47314829999993</v>
      </c>
      <c r="E43" s="78">
        <f>'[2]CDCM Forecast Data'!E43</f>
        <v>550.90819761022499</v>
      </c>
      <c r="F43" s="88">
        <f t="shared" si="1"/>
        <v>567.60238541659544</v>
      </c>
      <c r="G43" s="88">
        <f t="shared" si="1"/>
        <v>585.25052681190141</v>
      </c>
      <c r="H43" s="88">
        <f t="shared" si="1"/>
        <v>602.42169141273951</v>
      </c>
      <c r="I43" s="88">
        <f t="shared" si="1"/>
        <v>621.02378639698088</v>
      </c>
      <c r="J43" s="74"/>
    </row>
    <row r="44" spans="1:10">
      <c r="A44" s="68">
        <v>31</v>
      </c>
      <c r="B44" s="77" t="s">
        <v>41</v>
      </c>
      <c r="C44" s="79">
        <f>'[2]CDCM Forecast Data'!C44</f>
        <v>1178.730448</v>
      </c>
      <c r="D44" s="79">
        <f>'[2]CDCM Forecast Data'!D44</f>
        <v>1214.9764092760001</v>
      </c>
      <c r="E44" s="78">
        <f>'[2]CDCM Forecast Data'!E44</f>
        <v>1252.3369338612372</v>
      </c>
      <c r="F44" s="88">
        <f t="shared" si="1"/>
        <v>1290.2865379176383</v>
      </c>
      <c r="G44" s="88">
        <f t="shared" si="1"/>
        <v>1330.4046907772624</v>
      </c>
      <c r="H44" s="88">
        <f t="shared" si="1"/>
        <v>1369.4385692352748</v>
      </c>
      <c r="I44" s="88">
        <f t="shared" si="1"/>
        <v>1411.7252708981218</v>
      </c>
      <c r="J44" s="74"/>
    </row>
    <row r="45" spans="1:10">
      <c r="A45" s="68">
        <v>32</v>
      </c>
      <c r="B45" s="77" t="s">
        <v>42</v>
      </c>
      <c r="C45" s="79">
        <f>'[2]CDCM Forecast Data'!C45</f>
        <v>907.87362000000007</v>
      </c>
      <c r="D45" s="79">
        <f>'[2]CDCM Forecast Data'!D45</f>
        <v>935.79073381500018</v>
      </c>
      <c r="E45" s="78">
        <f>'[2]CDCM Forecast Data'!E45</f>
        <v>964.56629887981148</v>
      </c>
      <c r="F45" s="88">
        <f t="shared" si="1"/>
        <v>993.7955806640482</v>
      </c>
      <c r="G45" s="88">
        <f t="shared" si="1"/>
        <v>1024.6951071216699</v>
      </c>
      <c r="H45" s="88">
        <f t="shared" si="1"/>
        <v>1054.759511242599</v>
      </c>
      <c r="I45" s="88">
        <f t="shared" si="1"/>
        <v>1087.3292823736058</v>
      </c>
      <c r="J45" s="74"/>
    </row>
    <row r="46" spans="1:10">
      <c r="A46" s="68">
        <v>33</v>
      </c>
      <c r="B46" s="77" t="s">
        <v>43</v>
      </c>
      <c r="C46" s="79">
        <f>'[2]CDCM Forecast Data'!C46</f>
        <v>0</v>
      </c>
      <c r="D46" s="79">
        <f>'[2]CDCM Forecast Data'!D46</f>
        <v>0</v>
      </c>
      <c r="E46" s="79">
        <f>'[2]CDCM Forecast Data'!E46</f>
        <v>0</v>
      </c>
      <c r="F46" s="97">
        <f t="shared" si="1"/>
        <v>0</v>
      </c>
      <c r="G46" s="97">
        <f t="shared" si="1"/>
        <v>0</v>
      </c>
      <c r="H46" s="97">
        <f t="shared" si="1"/>
        <v>0</v>
      </c>
      <c r="I46" s="97">
        <f t="shared" si="1"/>
        <v>0</v>
      </c>
      <c r="J46" s="74"/>
    </row>
    <row r="47" spans="1:10">
      <c r="A47" s="68">
        <v>34</v>
      </c>
      <c r="B47" s="77" t="s">
        <v>44</v>
      </c>
      <c r="C47" s="79">
        <f>'[2]CDCM Forecast Data'!C47</f>
        <v>474.82320000000004</v>
      </c>
      <c r="D47" s="79">
        <f>'[2]CDCM Forecast Data'!D47</f>
        <v>489.42401340000009</v>
      </c>
      <c r="E47" s="79">
        <f>'[2]CDCM Forecast Data'!E47</f>
        <v>504.47380181205011</v>
      </c>
      <c r="F47" s="97">
        <f t="shared" si="1"/>
        <v>519.76088671544551</v>
      </c>
      <c r="G47" s="97">
        <f t="shared" si="1"/>
        <v>535.92151932760646</v>
      </c>
      <c r="H47" s="97">
        <f t="shared" si="1"/>
        <v>551.64537808538455</v>
      </c>
      <c r="I47" s="97">
        <f t="shared" si="1"/>
        <v>568.679558406311</v>
      </c>
      <c r="J47" s="74"/>
    </row>
    <row r="48" spans="1:10">
      <c r="A48" s="68">
        <v>35</v>
      </c>
      <c r="B48" s="73" t="s">
        <v>1044</v>
      </c>
      <c r="C48" s="72"/>
      <c r="D48" s="72"/>
      <c r="E48" s="72"/>
      <c r="F48" s="72"/>
      <c r="G48" s="72"/>
      <c r="H48" s="72"/>
      <c r="I48" s="72"/>
      <c r="J48" s="71"/>
    </row>
    <row r="49" spans="1:10" ht="12.75" customHeight="1">
      <c r="A49" s="68">
        <v>36</v>
      </c>
      <c r="B49" s="77" t="s">
        <v>47</v>
      </c>
      <c r="C49" s="94">
        <f>'[2]CDCM Forecast Data'!C49</f>
        <v>9007.1597759999986</v>
      </c>
      <c r="D49" s="94">
        <f>'[2]CDCM Forecast Data'!D49</f>
        <v>9284.1299391119992</v>
      </c>
      <c r="E49" s="96">
        <f>'[2]CDCM Forecast Data'!E49</f>
        <v>9569.6169347396935</v>
      </c>
      <c r="F49" s="95">
        <f t="shared" ref="F49:I53" si="2">E49*(1+F$13)</f>
        <v>9859.6053267015013</v>
      </c>
      <c r="G49" s="95">
        <f t="shared" si="2"/>
        <v>10166.164483918272</v>
      </c>
      <c r="H49" s="95">
        <f t="shared" si="2"/>
        <v>10464.43825850756</v>
      </c>
      <c r="I49" s="95">
        <f t="shared" si="2"/>
        <v>10787.568180979291</v>
      </c>
      <c r="J49" s="74"/>
    </row>
    <row r="50" spans="1:10">
      <c r="A50" s="68">
        <v>37</v>
      </c>
      <c r="B50" s="77" t="s">
        <v>48</v>
      </c>
      <c r="C50" s="94">
        <f>'[2]CDCM Forecast Data'!C50</f>
        <v>4342.6559999999999</v>
      </c>
      <c r="D50" s="94">
        <f>'[2]CDCM Forecast Data'!D50</f>
        <v>4476.1926720000001</v>
      </c>
      <c r="E50" s="96">
        <f>'[2]CDCM Forecast Data'!E50</f>
        <v>4613.8355966640001</v>
      </c>
      <c r="F50" s="95">
        <f t="shared" si="2"/>
        <v>4753.6487965629094</v>
      </c>
      <c r="G50" s="95">
        <f t="shared" si="2"/>
        <v>4901.4513221703282</v>
      </c>
      <c r="H50" s="95">
        <f t="shared" si="2"/>
        <v>5045.2591849234914</v>
      </c>
      <c r="I50" s="95">
        <f t="shared" si="2"/>
        <v>5201.0510362394189</v>
      </c>
      <c r="J50" s="74"/>
    </row>
    <row r="51" spans="1:10">
      <c r="A51" s="68">
        <v>38</v>
      </c>
      <c r="B51" s="77" t="s">
        <v>49</v>
      </c>
      <c r="C51" s="94">
        <f>'[2]CDCM Forecast Data'!C51</f>
        <v>0</v>
      </c>
      <c r="D51" s="94">
        <f>'[2]CDCM Forecast Data'!D51</f>
        <v>0</v>
      </c>
      <c r="E51" s="94">
        <f>'[2]CDCM Forecast Data'!E51</f>
        <v>0</v>
      </c>
      <c r="F51" s="93">
        <f t="shared" si="2"/>
        <v>0</v>
      </c>
      <c r="G51" s="93">
        <f t="shared" si="2"/>
        <v>0</v>
      </c>
      <c r="H51" s="93">
        <f t="shared" si="2"/>
        <v>0</v>
      </c>
      <c r="I51" s="93">
        <f t="shared" si="2"/>
        <v>0</v>
      </c>
      <c r="J51" s="74"/>
    </row>
    <row r="52" spans="1:10">
      <c r="A52" s="68">
        <v>39</v>
      </c>
      <c r="B52" s="77" t="s">
        <v>50</v>
      </c>
      <c r="C52" s="94">
        <f>'[2]CDCM Forecast Data'!C52</f>
        <v>0</v>
      </c>
      <c r="D52" s="94">
        <f>'[2]CDCM Forecast Data'!D52</f>
        <v>0</v>
      </c>
      <c r="E52" s="94">
        <f>'[2]CDCM Forecast Data'!E52</f>
        <v>0</v>
      </c>
      <c r="F52" s="93">
        <f t="shared" si="2"/>
        <v>0</v>
      </c>
      <c r="G52" s="93">
        <f t="shared" si="2"/>
        <v>0</v>
      </c>
      <c r="H52" s="93">
        <f t="shared" si="2"/>
        <v>0</v>
      </c>
      <c r="I52" s="93">
        <f t="shared" si="2"/>
        <v>0</v>
      </c>
      <c r="J52" s="74"/>
    </row>
    <row r="53" spans="1:10">
      <c r="A53" s="68">
        <v>40</v>
      </c>
      <c r="B53" s="77" t="s">
        <v>51</v>
      </c>
      <c r="C53" s="94">
        <f>'[2]CDCM Forecast Data'!C53</f>
        <v>0</v>
      </c>
      <c r="D53" s="94">
        <f>'[2]CDCM Forecast Data'!D53</f>
        <v>0</v>
      </c>
      <c r="E53" s="94">
        <f>'[2]CDCM Forecast Data'!E53</f>
        <v>0</v>
      </c>
      <c r="F53" s="93">
        <f t="shared" si="2"/>
        <v>0</v>
      </c>
      <c r="G53" s="93">
        <f t="shared" si="2"/>
        <v>0</v>
      </c>
      <c r="H53" s="93">
        <f t="shared" si="2"/>
        <v>0</v>
      </c>
      <c r="I53" s="93">
        <f t="shared" si="2"/>
        <v>0</v>
      </c>
      <c r="J53" s="74"/>
    </row>
    <row r="54" spans="1:10" ht="12.75" customHeight="1">
      <c r="A54" s="68">
        <v>41</v>
      </c>
      <c r="B54" s="73" t="s">
        <v>1043</v>
      </c>
      <c r="C54" s="72"/>
      <c r="D54" s="72"/>
      <c r="E54" s="72"/>
      <c r="F54" s="72"/>
      <c r="G54" s="72"/>
      <c r="H54" s="72"/>
      <c r="I54" s="72"/>
      <c r="J54" s="71"/>
    </row>
    <row r="55" spans="1:10">
      <c r="A55" s="68">
        <v>42</v>
      </c>
      <c r="B55" s="73" t="s">
        <v>1042</v>
      </c>
      <c r="C55" s="72"/>
      <c r="D55" s="72"/>
      <c r="E55" s="72"/>
      <c r="F55" s="72"/>
      <c r="G55" s="72"/>
      <c r="H55" s="72"/>
      <c r="I55" s="72"/>
      <c r="J55" s="71"/>
    </row>
    <row r="56" spans="1:10">
      <c r="A56" s="68">
        <v>43</v>
      </c>
      <c r="B56" s="73" t="s">
        <v>1041</v>
      </c>
      <c r="C56" s="72"/>
      <c r="D56" s="72"/>
      <c r="E56" s="72"/>
      <c r="F56" s="72"/>
      <c r="G56" s="72"/>
      <c r="H56" s="72"/>
      <c r="I56" s="72"/>
      <c r="J56" s="71"/>
    </row>
    <row r="57" spans="1:10">
      <c r="A57" s="68">
        <v>44</v>
      </c>
      <c r="B57" s="73" t="s">
        <v>1040</v>
      </c>
      <c r="C57" s="72"/>
      <c r="D57" s="72"/>
      <c r="E57" s="72"/>
      <c r="F57" s="72"/>
      <c r="G57" s="72"/>
      <c r="H57" s="72"/>
      <c r="I57" s="72"/>
      <c r="J57" s="71"/>
    </row>
    <row r="58" spans="1:10" ht="12.75" customHeight="1">
      <c r="A58" s="68">
        <v>45</v>
      </c>
      <c r="B58" s="77" t="s">
        <v>23</v>
      </c>
      <c r="C58" s="76">
        <f>'[2]CDCM Forecast Data'!C58</f>
        <v>1.008</v>
      </c>
      <c r="D58" s="76">
        <f>'[2]CDCM Forecast Data'!D58</f>
        <v>1.008</v>
      </c>
      <c r="E58" s="75">
        <f>'[2]CDCM Forecast Data'!E58</f>
        <v>1.002</v>
      </c>
      <c r="F58" s="75">
        <f>'[2]CDCM Forecast Data'!F58</f>
        <v>1.002</v>
      </c>
      <c r="G58" s="75">
        <f>'[2]CDCM Forecast Data'!G58</f>
        <v>1.002</v>
      </c>
      <c r="H58" s="75">
        <f>'[2]CDCM Forecast Data'!H58</f>
        <v>1.002</v>
      </c>
      <c r="I58" s="75">
        <f>'[2]CDCM Forecast Data'!I58</f>
        <v>1.002</v>
      </c>
      <c r="J58" s="74"/>
    </row>
    <row r="59" spans="1:10">
      <c r="A59" s="68">
        <v>46</v>
      </c>
      <c r="B59" s="77" t="s">
        <v>24</v>
      </c>
      <c r="C59" s="76">
        <f>'[2]CDCM Forecast Data'!C59</f>
        <v>1.0109999999999999</v>
      </c>
      <c r="D59" s="76">
        <f>'[2]CDCM Forecast Data'!D59</f>
        <v>1.0109999999999999</v>
      </c>
      <c r="E59" s="75">
        <f>'[2]CDCM Forecast Data'!E59</f>
        <v>1.006</v>
      </c>
      <c r="F59" s="75">
        <f>'[2]CDCM Forecast Data'!F59</f>
        <v>1.006</v>
      </c>
      <c r="G59" s="75">
        <f>'[2]CDCM Forecast Data'!G59</f>
        <v>1.006</v>
      </c>
      <c r="H59" s="75">
        <f>'[2]CDCM Forecast Data'!H59</f>
        <v>1.006</v>
      </c>
      <c r="I59" s="75">
        <f>'[2]CDCM Forecast Data'!I59</f>
        <v>1.006</v>
      </c>
      <c r="J59" s="74"/>
    </row>
    <row r="60" spans="1:10">
      <c r="A60" s="68">
        <v>47</v>
      </c>
      <c r="B60" s="77" t="s">
        <v>25</v>
      </c>
      <c r="C60" s="76">
        <f>'[2]CDCM Forecast Data'!C60</f>
        <v>1.024</v>
      </c>
      <c r="D60" s="76">
        <f>'[2]CDCM Forecast Data'!D60</f>
        <v>1.024</v>
      </c>
      <c r="E60" s="75">
        <f>'[2]CDCM Forecast Data'!E60</f>
        <v>1.012</v>
      </c>
      <c r="F60" s="75">
        <f>'[2]CDCM Forecast Data'!F60</f>
        <v>1.012</v>
      </c>
      <c r="G60" s="75">
        <f>'[2]CDCM Forecast Data'!G60</f>
        <v>1.012</v>
      </c>
      <c r="H60" s="75">
        <f>'[2]CDCM Forecast Data'!H60</f>
        <v>1.012</v>
      </c>
      <c r="I60" s="75">
        <f>'[2]CDCM Forecast Data'!I60</f>
        <v>1.012</v>
      </c>
      <c r="J60" s="74"/>
    </row>
    <row r="61" spans="1:10">
      <c r="A61" s="68">
        <v>48</v>
      </c>
      <c r="B61" s="77" t="s">
        <v>26</v>
      </c>
      <c r="C61" s="76">
        <f>'[2]CDCM Forecast Data'!C61</f>
        <v>1.034</v>
      </c>
      <c r="D61" s="76">
        <f>'[2]CDCM Forecast Data'!D61</f>
        <v>1.034</v>
      </c>
      <c r="E61" s="75">
        <f>'[2]CDCM Forecast Data'!E61</f>
        <v>1.0209999999999999</v>
      </c>
      <c r="F61" s="75">
        <f>'[2]CDCM Forecast Data'!F61</f>
        <v>1.0209999999999999</v>
      </c>
      <c r="G61" s="75">
        <f>'[2]CDCM Forecast Data'!G61</f>
        <v>1.0209999999999999</v>
      </c>
      <c r="H61" s="75">
        <f>'[2]CDCM Forecast Data'!H61</f>
        <v>1.0209999999999999</v>
      </c>
      <c r="I61" s="75">
        <f>'[2]CDCM Forecast Data'!I61</f>
        <v>1.0209999999999999</v>
      </c>
      <c r="J61" s="74"/>
    </row>
    <row r="62" spans="1:10">
      <c r="A62" s="68">
        <v>49</v>
      </c>
      <c r="B62" s="77" t="s">
        <v>27</v>
      </c>
      <c r="C62" s="76">
        <f>'[2]CDCM Forecast Data'!C62</f>
        <v>1.0569999999999999</v>
      </c>
      <c r="D62" s="76">
        <f>'[2]CDCM Forecast Data'!D62</f>
        <v>1.0569999999999999</v>
      </c>
      <c r="E62" s="75">
        <f>'[2]CDCM Forecast Data'!E62</f>
        <v>1.038</v>
      </c>
      <c r="F62" s="75">
        <f>'[2]CDCM Forecast Data'!F62</f>
        <v>1.038</v>
      </c>
      <c r="G62" s="75">
        <f>'[2]CDCM Forecast Data'!G62</f>
        <v>1.038</v>
      </c>
      <c r="H62" s="75">
        <f>'[2]CDCM Forecast Data'!H62</f>
        <v>1.038</v>
      </c>
      <c r="I62" s="75">
        <f>'[2]CDCM Forecast Data'!I62</f>
        <v>1.038</v>
      </c>
      <c r="J62" s="74"/>
    </row>
    <row r="63" spans="1:10">
      <c r="A63" s="68">
        <v>50</v>
      </c>
      <c r="B63" s="77" t="s">
        <v>28</v>
      </c>
      <c r="C63" s="76">
        <f>'[2]CDCM Forecast Data'!C63</f>
        <v>1.07</v>
      </c>
      <c r="D63" s="76">
        <f>'[2]CDCM Forecast Data'!D63</f>
        <v>1.07</v>
      </c>
      <c r="E63" s="75">
        <f>'[2]CDCM Forecast Data'!E63</f>
        <v>1.0489999999999999</v>
      </c>
      <c r="F63" s="75">
        <f>'[2]CDCM Forecast Data'!F63</f>
        <v>1.0489999999999999</v>
      </c>
      <c r="G63" s="75">
        <f>'[2]CDCM Forecast Data'!G63</f>
        <v>1.0489999999999999</v>
      </c>
      <c r="H63" s="75">
        <f>'[2]CDCM Forecast Data'!H63</f>
        <v>1.0489999999999999</v>
      </c>
      <c r="I63" s="75">
        <f>'[2]CDCM Forecast Data'!I63</f>
        <v>1.0489999999999999</v>
      </c>
      <c r="J63" s="74"/>
    </row>
    <row r="64" spans="1:10">
      <c r="A64" s="68">
        <v>51</v>
      </c>
      <c r="B64" s="77" t="s">
        <v>29</v>
      </c>
      <c r="C64" s="76">
        <f>'[2]CDCM Forecast Data'!C64</f>
        <v>1.085</v>
      </c>
      <c r="D64" s="76">
        <f>'[2]CDCM Forecast Data'!D64</f>
        <v>1.085</v>
      </c>
      <c r="E64" s="75">
        <f>'[2]CDCM Forecast Data'!E64</f>
        <v>1.0620000000000001</v>
      </c>
      <c r="F64" s="75">
        <f>'[2]CDCM Forecast Data'!F64</f>
        <v>1.0620000000000001</v>
      </c>
      <c r="G64" s="75">
        <f>'[2]CDCM Forecast Data'!G64</f>
        <v>1.0620000000000001</v>
      </c>
      <c r="H64" s="75">
        <f>'[2]CDCM Forecast Data'!H64</f>
        <v>1.0620000000000001</v>
      </c>
      <c r="I64" s="75">
        <f>'[2]CDCM Forecast Data'!I64</f>
        <v>1.0620000000000001</v>
      </c>
      <c r="J64" s="74"/>
    </row>
    <row r="65" spans="1:10">
      <c r="A65" s="68">
        <v>52</v>
      </c>
      <c r="B65" s="73" t="s">
        <v>1039</v>
      </c>
      <c r="C65" s="72"/>
      <c r="D65" s="72"/>
      <c r="E65" s="72"/>
      <c r="F65" s="72"/>
      <c r="G65" s="72"/>
      <c r="H65" s="72"/>
      <c r="I65" s="72"/>
      <c r="J65" s="71"/>
    </row>
    <row r="66" spans="1:10" ht="12.75" customHeight="1">
      <c r="A66" s="68">
        <v>53</v>
      </c>
      <c r="B66" s="77" t="s">
        <v>82</v>
      </c>
      <c r="C66" s="84">
        <f>'[2]CDCM Forecast Data'!C66</f>
        <v>0.3707332984513923</v>
      </c>
      <c r="D66" s="84">
        <f>'[2]CDCM Forecast Data'!D66</f>
        <v>0.3712611553188348</v>
      </c>
      <c r="E66" s="92">
        <f>'[2]CDCM Forecast Data'!E66</f>
        <v>0.37267999985613431</v>
      </c>
      <c r="F66" s="92">
        <f>'[2]CDCM Forecast Data'!F66</f>
        <v>0.37267999985613431</v>
      </c>
      <c r="G66" s="92">
        <f>'[2]CDCM Forecast Data'!G66</f>
        <v>0.37267999985613431</v>
      </c>
      <c r="H66" s="92">
        <f>'[2]CDCM Forecast Data'!H66</f>
        <v>0.37267999985613431</v>
      </c>
      <c r="I66" s="92">
        <f>'[2]CDCM Forecast Data'!I66</f>
        <v>0.37267999985613431</v>
      </c>
      <c r="J66" s="74"/>
    </row>
    <row r="67" spans="1:10">
      <c r="A67" s="68">
        <v>54</v>
      </c>
      <c r="B67" s="77" t="s">
        <v>83</v>
      </c>
      <c r="C67" s="84">
        <f>'[2]CDCM Forecast Data'!C67</f>
        <v>0.62576325598152138</v>
      </c>
      <c r="D67" s="84">
        <f>'[2]CDCM Forecast Data'!D67</f>
        <v>0.62673064922258426</v>
      </c>
      <c r="E67" s="92">
        <f>'[2]CDCM Forecast Data'!E67</f>
        <v>0.6188090826390088</v>
      </c>
      <c r="F67" s="92">
        <f>'[2]CDCM Forecast Data'!F67</f>
        <v>0.6188090826390088</v>
      </c>
      <c r="G67" s="92">
        <f>'[2]CDCM Forecast Data'!G67</f>
        <v>0.6188090826390088</v>
      </c>
      <c r="H67" s="92">
        <f>'[2]CDCM Forecast Data'!H67</f>
        <v>0.6188090826390088</v>
      </c>
      <c r="I67" s="92">
        <f>'[2]CDCM Forecast Data'!I67</f>
        <v>0.6188090826390088</v>
      </c>
      <c r="J67" s="74"/>
    </row>
    <row r="68" spans="1:10">
      <c r="A68" s="68">
        <v>55</v>
      </c>
      <c r="B68" s="77" t="s">
        <v>84</v>
      </c>
      <c r="C68" s="84">
        <f>'[2]CDCM Forecast Data'!C68</f>
        <v>0.38635089404625156</v>
      </c>
      <c r="D68" s="84">
        <f>'[2]CDCM Forecast Data'!D68</f>
        <v>0.38738653809384505</v>
      </c>
      <c r="E68" s="92">
        <f>'[2]CDCM Forecast Data'!E68</f>
        <v>0.3749541673400224</v>
      </c>
      <c r="F68" s="92">
        <f>'[2]CDCM Forecast Data'!F68</f>
        <v>0.3749541673400224</v>
      </c>
      <c r="G68" s="92">
        <f>'[2]CDCM Forecast Data'!G68</f>
        <v>0.3749541673400224</v>
      </c>
      <c r="H68" s="92">
        <f>'[2]CDCM Forecast Data'!H68</f>
        <v>0.3749541673400224</v>
      </c>
      <c r="I68" s="92">
        <f>'[2]CDCM Forecast Data'!I68</f>
        <v>0.3749541673400224</v>
      </c>
      <c r="J68" s="74"/>
    </row>
    <row r="69" spans="1:10">
      <c r="A69" s="68">
        <v>56</v>
      </c>
      <c r="B69" s="77" t="s">
        <v>85</v>
      </c>
      <c r="C69" s="84">
        <f>'[2]CDCM Forecast Data'!C69</f>
        <v>0.27215617077351317</v>
      </c>
      <c r="D69" s="84">
        <f>'[2]CDCM Forecast Data'!D69</f>
        <v>0.27306012017807152</v>
      </c>
      <c r="E69" s="92">
        <f>'[2]CDCM Forecast Data'!E69</f>
        <v>0.25863289422864333</v>
      </c>
      <c r="F69" s="92">
        <f>'[2]CDCM Forecast Data'!F69</f>
        <v>0.25863289422864333</v>
      </c>
      <c r="G69" s="92">
        <f>'[2]CDCM Forecast Data'!G69</f>
        <v>0.25863289422864333</v>
      </c>
      <c r="H69" s="92">
        <f>'[2]CDCM Forecast Data'!H69</f>
        <v>0.25863289422864333</v>
      </c>
      <c r="I69" s="92">
        <f>'[2]CDCM Forecast Data'!I69</f>
        <v>0.25863289422864333</v>
      </c>
      <c r="J69" s="74"/>
    </row>
    <row r="70" spans="1:10">
      <c r="A70" s="68">
        <v>57</v>
      </c>
      <c r="B70" s="73" t="s">
        <v>1038</v>
      </c>
      <c r="C70" s="72"/>
      <c r="D70" s="72"/>
      <c r="E70" s="72"/>
      <c r="F70" s="72"/>
      <c r="G70" s="72"/>
      <c r="H70" s="72"/>
      <c r="I70" s="72"/>
      <c r="J70" s="71"/>
    </row>
    <row r="71" spans="1:10">
      <c r="A71" s="68">
        <v>58</v>
      </c>
      <c r="B71" s="77" t="s">
        <v>54</v>
      </c>
      <c r="C71" s="75">
        <f>'[2]CDCM Forecast Data'!C71</f>
        <v>0.89598373864555925</v>
      </c>
      <c r="D71" s="75">
        <f>'[2]CDCM Forecast Data'!D71</f>
        <v>0.89598373864555925</v>
      </c>
      <c r="E71" s="75">
        <f>'Smoothed Input Details'!E15</f>
        <v>0.9161200130357342</v>
      </c>
      <c r="F71" s="75">
        <f t="shared" ref="F71" si="3">E71</f>
        <v>0.9161200130357342</v>
      </c>
      <c r="G71" s="75">
        <f t="shared" ref="G71:G72" si="4">F71</f>
        <v>0.9161200130357342</v>
      </c>
      <c r="H71" s="75">
        <f t="shared" ref="H71:H72" si="5">G71</f>
        <v>0.9161200130357342</v>
      </c>
      <c r="I71" s="75">
        <f t="shared" ref="I71:I72" si="6">H71</f>
        <v>0.9161200130357342</v>
      </c>
      <c r="J71" s="74"/>
    </row>
    <row r="72" spans="1:10">
      <c r="A72" s="68">
        <v>59</v>
      </c>
      <c r="B72" s="77" t="s">
        <v>55</v>
      </c>
      <c r="C72" s="75">
        <f>'[2]CDCM Forecast Data'!C72</f>
        <v>0.32457794956701363</v>
      </c>
      <c r="D72" s="75">
        <f>'[2]CDCM Forecast Data'!D72</f>
        <v>0.32457794956701363</v>
      </c>
      <c r="E72" s="75">
        <f>'Smoothed Input Details'!E16</f>
        <v>0.34251063480316429</v>
      </c>
      <c r="F72" s="75">
        <f t="shared" ref="F72" si="7">E72</f>
        <v>0.34251063480316429</v>
      </c>
      <c r="G72" s="75">
        <f t="shared" si="4"/>
        <v>0.34251063480316429</v>
      </c>
      <c r="H72" s="75">
        <f t="shared" si="5"/>
        <v>0.34251063480316429</v>
      </c>
      <c r="I72" s="75">
        <f t="shared" si="6"/>
        <v>0.34251063480316429</v>
      </c>
      <c r="J72" s="74"/>
    </row>
    <row r="73" spans="1:10">
      <c r="A73" s="68">
        <v>60</v>
      </c>
      <c r="B73" s="77" t="s">
        <v>91</v>
      </c>
      <c r="C73" s="91">
        <f>'[2]CDCM Forecast Data'!C73</f>
        <v>0</v>
      </c>
      <c r="D73" s="91">
        <f>'[2]CDCM Forecast Data'!D73</f>
        <v>0</v>
      </c>
      <c r="E73" s="91"/>
      <c r="F73" s="91"/>
      <c r="G73" s="91"/>
      <c r="H73" s="91"/>
      <c r="I73" s="91"/>
      <c r="J73" s="74"/>
    </row>
    <row r="74" spans="1:10">
      <c r="A74" s="68">
        <v>61</v>
      </c>
      <c r="B74" s="77" t="s">
        <v>56</v>
      </c>
      <c r="C74" s="75">
        <f>'[2]CDCM Forecast Data'!C74</f>
        <v>0.65040444502590244</v>
      </c>
      <c r="D74" s="75">
        <f>'[2]CDCM Forecast Data'!D74</f>
        <v>0.65040444502590244</v>
      </c>
      <c r="E74" s="75">
        <f>'Smoothed Input Details'!E18</f>
        <v>0.63581024857807822</v>
      </c>
      <c r="F74" s="75">
        <f t="shared" ref="F74:F75" si="8">E74</f>
        <v>0.63581024857807822</v>
      </c>
      <c r="G74" s="75">
        <f t="shared" ref="G74:G75" si="9">F74</f>
        <v>0.63581024857807822</v>
      </c>
      <c r="H74" s="75">
        <f t="shared" ref="H74:H75" si="10">G74</f>
        <v>0.63581024857807822</v>
      </c>
      <c r="I74" s="75">
        <f t="shared" ref="I74:I75" si="11">H74</f>
        <v>0.63581024857807822</v>
      </c>
      <c r="J74" s="74"/>
    </row>
    <row r="75" spans="1:10">
      <c r="A75" s="68">
        <v>62</v>
      </c>
      <c r="B75" s="77" t="s">
        <v>57</v>
      </c>
      <c r="C75" s="75">
        <f>'[2]CDCM Forecast Data'!C75</f>
        <v>0.60748439097587781</v>
      </c>
      <c r="D75" s="75">
        <f>'[2]CDCM Forecast Data'!D75</f>
        <v>0.60748439097587781</v>
      </c>
      <c r="E75" s="75">
        <f>'Smoothed Input Details'!E19</f>
        <v>0.58840544954710228</v>
      </c>
      <c r="F75" s="75">
        <f t="shared" si="8"/>
        <v>0.58840544954710228</v>
      </c>
      <c r="G75" s="75">
        <f t="shared" si="9"/>
        <v>0.58840544954710228</v>
      </c>
      <c r="H75" s="75">
        <f t="shared" si="10"/>
        <v>0.58840544954710228</v>
      </c>
      <c r="I75" s="75">
        <f t="shared" si="11"/>
        <v>0.58840544954710228</v>
      </c>
      <c r="J75" s="74"/>
    </row>
    <row r="76" spans="1:10">
      <c r="A76" s="68">
        <v>63</v>
      </c>
      <c r="B76" s="77" t="s">
        <v>92</v>
      </c>
      <c r="C76" s="91">
        <f>'[2]CDCM Forecast Data'!C76</f>
        <v>0</v>
      </c>
      <c r="D76" s="91">
        <f>'[2]CDCM Forecast Data'!D76</f>
        <v>0</v>
      </c>
      <c r="E76" s="91"/>
      <c r="F76" s="91"/>
      <c r="G76" s="91"/>
      <c r="H76" s="91"/>
      <c r="I76" s="91"/>
      <c r="J76" s="74"/>
    </row>
    <row r="77" spans="1:10">
      <c r="A77" s="68">
        <v>64</v>
      </c>
      <c r="B77" s="77" t="s">
        <v>58</v>
      </c>
      <c r="C77" s="75">
        <f>'[2]CDCM Forecast Data'!C77</f>
        <v>0.86565529109320483</v>
      </c>
      <c r="D77" s="75">
        <f>'[2]CDCM Forecast Data'!D77</f>
        <v>0.86565529109320483</v>
      </c>
      <c r="E77" s="75">
        <f>'Smoothed Input Details'!E21</f>
        <v>0.85855132048386718</v>
      </c>
      <c r="F77" s="75">
        <f t="shared" ref="F77:F89" si="12">E77</f>
        <v>0.85855132048386718</v>
      </c>
      <c r="G77" s="75">
        <f t="shared" ref="G77:G89" si="13">F77</f>
        <v>0.85855132048386718</v>
      </c>
      <c r="H77" s="75">
        <f t="shared" ref="H77:H89" si="14">G77</f>
        <v>0.85855132048386718</v>
      </c>
      <c r="I77" s="75">
        <f t="shared" ref="I77:I89" si="15">H77</f>
        <v>0.85855132048386718</v>
      </c>
      <c r="J77" s="74"/>
    </row>
    <row r="78" spans="1:10">
      <c r="A78" s="68">
        <v>65</v>
      </c>
      <c r="B78" s="77" t="s">
        <v>59</v>
      </c>
      <c r="C78" s="75">
        <f>'[2]CDCM Forecast Data'!C78</f>
        <v>0.83933896268014541</v>
      </c>
      <c r="D78" s="75">
        <f>'[2]CDCM Forecast Data'!D78</f>
        <v>0.83933896268014541</v>
      </c>
      <c r="E78" s="75">
        <f>'Smoothed Input Details'!E22</f>
        <v>0.83823141723685424</v>
      </c>
      <c r="F78" s="75">
        <f t="shared" si="12"/>
        <v>0.83823141723685424</v>
      </c>
      <c r="G78" s="75">
        <f t="shared" si="13"/>
        <v>0.83823141723685424</v>
      </c>
      <c r="H78" s="75">
        <f t="shared" si="14"/>
        <v>0.83823141723685424</v>
      </c>
      <c r="I78" s="75">
        <f t="shared" si="15"/>
        <v>0.83823141723685424</v>
      </c>
      <c r="J78" s="74"/>
    </row>
    <row r="79" spans="1:10">
      <c r="A79" s="68">
        <v>66</v>
      </c>
      <c r="B79" s="77" t="s">
        <v>72</v>
      </c>
      <c r="C79" s="75">
        <f>'[2]CDCM Forecast Data'!C79</f>
        <v>0.69707767268592125</v>
      </c>
      <c r="D79" s="75">
        <f>'[2]CDCM Forecast Data'!D79</f>
        <v>0.69707767268592125</v>
      </c>
      <c r="E79" s="75">
        <f>'Smoothed Input Details'!E23</f>
        <v>0.6632207801144262</v>
      </c>
      <c r="F79" s="75">
        <f t="shared" si="12"/>
        <v>0.6632207801144262</v>
      </c>
      <c r="G79" s="75">
        <f t="shared" si="13"/>
        <v>0.6632207801144262</v>
      </c>
      <c r="H79" s="75">
        <f t="shared" si="14"/>
        <v>0.6632207801144262</v>
      </c>
      <c r="I79" s="75">
        <f t="shared" si="15"/>
        <v>0.6632207801144262</v>
      </c>
      <c r="J79" s="74"/>
    </row>
    <row r="80" spans="1:10">
      <c r="A80" s="68">
        <v>67</v>
      </c>
      <c r="B80" s="77" t="s">
        <v>1178</v>
      </c>
      <c r="C80" s="75">
        <f>'[2]CDCM Forecast Data'!C80</f>
        <v>0.80619954779926484</v>
      </c>
      <c r="D80" s="75">
        <f>'[2]CDCM Forecast Data'!D80</f>
        <v>0.80619954779926484</v>
      </c>
      <c r="E80" s="75">
        <f>'Smoothed Input Details'!E24</f>
        <v>0.82598957531386852</v>
      </c>
      <c r="F80" s="75">
        <f t="shared" si="12"/>
        <v>0.82598957531386852</v>
      </c>
      <c r="G80" s="75">
        <f t="shared" si="13"/>
        <v>0.82598957531386852</v>
      </c>
      <c r="H80" s="75">
        <f t="shared" si="14"/>
        <v>0.82598957531386852</v>
      </c>
      <c r="I80" s="75">
        <f t="shared" si="15"/>
        <v>0.82598957531386852</v>
      </c>
      <c r="J80" s="74"/>
    </row>
    <row r="81" spans="1:10">
      <c r="A81" s="68">
        <v>68</v>
      </c>
      <c r="B81" s="77" t="s">
        <v>1177</v>
      </c>
      <c r="C81" s="75">
        <f>'[2]CDCM Forecast Data'!C81</f>
        <v>0.64177545073415987</v>
      </c>
      <c r="D81" s="75">
        <f>'[2]CDCM Forecast Data'!D81</f>
        <v>0.64177545073415987</v>
      </c>
      <c r="E81" s="75">
        <f>'Smoothed Input Details'!E25</f>
        <v>0.62627960493623358</v>
      </c>
      <c r="F81" s="75">
        <f t="shared" si="12"/>
        <v>0.62627960493623358</v>
      </c>
      <c r="G81" s="75">
        <f t="shared" si="13"/>
        <v>0.62627960493623358</v>
      </c>
      <c r="H81" s="75">
        <f t="shared" si="14"/>
        <v>0.62627960493623358</v>
      </c>
      <c r="I81" s="75">
        <f t="shared" si="15"/>
        <v>0.62627960493623358</v>
      </c>
      <c r="J81" s="74"/>
    </row>
    <row r="82" spans="1:10">
      <c r="A82" s="68">
        <v>69</v>
      </c>
      <c r="B82" s="77" t="s">
        <v>60</v>
      </c>
      <c r="C82" s="75">
        <f>'[2]CDCM Forecast Data'!C82</f>
        <v>0.81736315531593873</v>
      </c>
      <c r="D82" s="75">
        <f>'[2]CDCM Forecast Data'!D82</f>
        <v>0.81736315531593873</v>
      </c>
      <c r="E82" s="75">
        <f>'Smoothed Input Details'!E26</f>
        <v>0.80328789495257791</v>
      </c>
      <c r="F82" s="75">
        <f t="shared" si="12"/>
        <v>0.80328789495257791</v>
      </c>
      <c r="G82" s="75">
        <f t="shared" si="13"/>
        <v>0.80328789495257791</v>
      </c>
      <c r="H82" s="75">
        <f t="shared" si="14"/>
        <v>0.80328789495257791</v>
      </c>
      <c r="I82" s="75">
        <f t="shared" si="15"/>
        <v>0.80328789495257791</v>
      </c>
      <c r="J82" s="74"/>
    </row>
    <row r="83" spans="1:10">
      <c r="A83" s="68">
        <v>70</v>
      </c>
      <c r="B83" s="77" t="s">
        <v>61</v>
      </c>
      <c r="C83" s="75">
        <f>'[2]CDCM Forecast Data'!C83</f>
        <v>0.77850527243821199</v>
      </c>
      <c r="D83" s="75">
        <f>'[2]CDCM Forecast Data'!D83</f>
        <v>0.77850527243821199</v>
      </c>
      <c r="E83" s="75">
        <f>'Smoothed Input Details'!E27</f>
        <v>0.76581938451320009</v>
      </c>
      <c r="F83" s="75">
        <f t="shared" si="12"/>
        <v>0.76581938451320009</v>
      </c>
      <c r="G83" s="75">
        <f t="shared" si="13"/>
        <v>0.76581938451320009</v>
      </c>
      <c r="H83" s="75">
        <f t="shared" si="14"/>
        <v>0.76581938451320009</v>
      </c>
      <c r="I83" s="75">
        <f t="shared" si="15"/>
        <v>0.76581938451320009</v>
      </c>
      <c r="J83" s="74"/>
    </row>
    <row r="84" spans="1:10">
      <c r="A84" s="68">
        <v>71</v>
      </c>
      <c r="B84" s="77" t="s">
        <v>73</v>
      </c>
      <c r="C84" s="75">
        <f>'[2]CDCM Forecast Data'!C84</f>
        <v>0.81143502356296626</v>
      </c>
      <c r="D84" s="75">
        <f>'[2]CDCM Forecast Data'!D84</f>
        <v>0.81143502356296626</v>
      </c>
      <c r="E84" s="75">
        <f>'Smoothed Input Details'!E28</f>
        <v>0.8005762642301345</v>
      </c>
      <c r="F84" s="75">
        <f t="shared" si="12"/>
        <v>0.8005762642301345</v>
      </c>
      <c r="G84" s="75">
        <f t="shared" si="13"/>
        <v>0.8005762642301345</v>
      </c>
      <c r="H84" s="75">
        <f t="shared" si="14"/>
        <v>0.8005762642301345</v>
      </c>
      <c r="I84" s="75">
        <f t="shared" si="15"/>
        <v>0.8005762642301345</v>
      </c>
      <c r="J84" s="74"/>
    </row>
    <row r="85" spans="1:10">
      <c r="A85" s="68">
        <v>72</v>
      </c>
      <c r="B85" s="77" t="s">
        <v>93</v>
      </c>
      <c r="C85" s="75">
        <f>'[2]CDCM Forecast Data'!C85</f>
        <v>1</v>
      </c>
      <c r="D85" s="75">
        <f>'[2]CDCM Forecast Data'!D85</f>
        <v>1</v>
      </c>
      <c r="E85" s="75">
        <f>'Smoothed Input Details'!E29</f>
        <v>1</v>
      </c>
      <c r="F85" s="75">
        <f t="shared" si="12"/>
        <v>1</v>
      </c>
      <c r="G85" s="75">
        <f t="shared" si="13"/>
        <v>1</v>
      </c>
      <c r="H85" s="75">
        <f t="shared" si="14"/>
        <v>1</v>
      </c>
      <c r="I85" s="75">
        <f t="shared" si="15"/>
        <v>1</v>
      </c>
      <c r="J85" s="74"/>
    </row>
    <row r="86" spans="1:10">
      <c r="A86" s="68">
        <v>73</v>
      </c>
      <c r="B86" s="77" t="s">
        <v>94</v>
      </c>
      <c r="C86" s="75">
        <f>'[2]CDCM Forecast Data'!C86</f>
        <v>0.98387596899224805</v>
      </c>
      <c r="D86" s="75">
        <f>'[2]CDCM Forecast Data'!D86</f>
        <v>0.98387596899224805</v>
      </c>
      <c r="E86" s="75">
        <f>'Smoothed Input Details'!E30</f>
        <v>0.98387596899224805</v>
      </c>
      <c r="F86" s="75">
        <f t="shared" si="12"/>
        <v>0.98387596899224805</v>
      </c>
      <c r="G86" s="75">
        <f t="shared" si="13"/>
        <v>0.98387596899224805</v>
      </c>
      <c r="H86" s="75">
        <f t="shared" si="14"/>
        <v>0.98387596899224805</v>
      </c>
      <c r="I86" s="75">
        <f t="shared" si="15"/>
        <v>0.98387596899224805</v>
      </c>
      <c r="J86" s="74"/>
    </row>
    <row r="87" spans="1:10">
      <c r="A87" s="68">
        <v>74</v>
      </c>
      <c r="B87" s="77" t="s">
        <v>95</v>
      </c>
      <c r="C87" s="75">
        <f>'[2]CDCM Forecast Data'!C87</f>
        <v>0.88074224937768719</v>
      </c>
      <c r="D87" s="75">
        <f>'[2]CDCM Forecast Data'!D87</f>
        <v>0.88074224937768719</v>
      </c>
      <c r="E87" s="75">
        <f>'Smoothed Input Details'!E31</f>
        <v>0.88050584275830202</v>
      </c>
      <c r="F87" s="75">
        <f t="shared" si="12"/>
        <v>0.88050584275830202</v>
      </c>
      <c r="G87" s="75">
        <f t="shared" si="13"/>
        <v>0.88050584275830202</v>
      </c>
      <c r="H87" s="75">
        <f t="shared" si="14"/>
        <v>0.88050584275830202</v>
      </c>
      <c r="I87" s="75">
        <f t="shared" si="15"/>
        <v>0.88050584275830202</v>
      </c>
      <c r="J87" s="74"/>
    </row>
    <row r="88" spans="1:10">
      <c r="A88" s="68">
        <v>75</v>
      </c>
      <c r="B88" s="77" t="s">
        <v>96</v>
      </c>
      <c r="C88" s="75">
        <f>'[2]CDCM Forecast Data'!C88</f>
        <v>0</v>
      </c>
      <c r="D88" s="75">
        <f>'[2]CDCM Forecast Data'!D88</f>
        <v>0</v>
      </c>
      <c r="E88" s="75">
        <f>'Smoothed Input Details'!E32</f>
        <v>0</v>
      </c>
      <c r="F88" s="75">
        <f t="shared" si="12"/>
        <v>0</v>
      </c>
      <c r="G88" s="75">
        <f t="shared" si="13"/>
        <v>0</v>
      </c>
      <c r="H88" s="75">
        <f t="shared" si="14"/>
        <v>0</v>
      </c>
      <c r="I88" s="75">
        <f t="shared" si="15"/>
        <v>0</v>
      </c>
      <c r="J88" s="74"/>
    </row>
    <row r="89" spans="1:10">
      <c r="A89" s="68">
        <v>76</v>
      </c>
      <c r="B89" s="77" t="s">
        <v>97</v>
      </c>
      <c r="C89" s="75">
        <f>'[2]CDCM Forecast Data'!C89</f>
        <v>0.97615646726013983</v>
      </c>
      <c r="D89" s="75">
        <f>'[2]CDCM Forecast Data'!D89</f>
        <v>0.97615646726013983</v>
      </c>
      <c r="E89" s="75">
        <f>'Smoothed Input Details'!E33</f>
        <v>0.97137455011863161</v>
      </c>
      <c r="F89" s="75">
        <f t="shared" si="12"/>
        <v>0.97137455011863161</v>
      </c>
      <c r="G89" s="75">
        <f t="shared" si="13"/>
        <v>0.97137455011863161</v>
      </c>
      <c r="H89" s="75">
        <f t="shared" si="14"/>
        <v>0.97137455011863161</v>
      </c>
      <c r="I89" s="75">
        <f t="shared" si="15"/>
        <v>0.97137455011863161</v>
      </c>
      <c r="J89" s="74"/>
    </row>
    <row r="90" spans="1:10">
      <c r="A90" s="68">
        <v>77</v>
      </c>
      <c r="B90" s="73" t="s">
        <v>1037</v>
      </c>
      <c r="C90" s="72"/>
      <c r="D90" s="72"/>
      <c r="E90" s="72"/>
      <c r="F90" s="72"/>
      <c r="G90" s="72"/>
      <c r="H90" s="72"/>
      <c r="I90" s="72"/>
      <c r="J90" s="71"/>
    </row>
    <row r="91" spans="1:10">
      <c r="A91" s="68">
        <v>78</v>
      </c>
      <c r="B91" s="77" t="s">
        <v>54</v>
      </c>
      <c r="C91" s="76">
        <f>'[2]CDCM Forecast Data'!C91</f>
        <v>0.41536862438421546</v>
      </c>
      <c r="D91" s="76">
        <f>'[2]CDCM Forecast Data'!D91</f>
        <v>0.41536862438421546</v>
      </c>
      <c r="E91" s="75">
        <f>'Smoothed Input Details'!E42</f>
        <v>0.41794848731992928</v>
      </c>
      <c r="F91" s="75">
        <f t="shared" ref="F91:I106" si="16">E91</f>
        <v>0.41794848731992928</v>
      </c>
      <c r="G91" s="75">
        <f t="shared" si="16"/>
        <v>0.41794848731992928</v>
      </c>
      <c r="H91" s="75">
        <f t="shared" si="16"/>
        <v>0.41794848731992928</v>
      </c>
      <c r="I91" s="75">
        <f t="shared" si="16"/>
        <v>0.41794848731992928</v>
      </c>
      <c r="J91" s="74"/>
    </row>
    <row r="92" spans="1:10">
      <c r="A92" s="68">
        <v>79</v>
      </c>
      <c r="B92" s="77" t="s">
        <v>55</v>
      </c>
      <c r="C92" s="76">
        <f>'[2]CDCM Forecast Data'!C92</f>
        <v>0.25453539017426813</v>
      </c>
      <c r="D92" s="76">
        <f>'[2]CDCM Forecast Data'!D92</f>
        <v>0.25453539017426813</v>
      </c>
      <c r="E92" s="75">
        <f>'Smoothed Input Details'!E43</f>
        <v>0.25787268553133197</v>
      </c>
      <c r="F92" s="75">
        <f t="shared" si="16"/>
        <v>0.25787268553133197</v>
      </c>
      <c r="G92" s="75">
        <f t="shared" si="16"/>
        <v>0.25787268553133197</v>
      </c>
      <c r="H92" s="75">
        <f t="shared" si="16"/>
        <v>0.25787268553133197</v>
      </c>
      <c r="I92" s="75">
        <f t="shared" si="16"/>
        <v>0.25787268553133197</v>
      </c>
      <c r="J92" s="74"/>
    </row>
    <row r="93" spans="1:10">
      <c r="A93" s="68">
        <v>80</v>
      </c>
      <c r="B93" s="77" t="s">
        <v>91</v>
      </c>
      <c r="C93" s="76">
        <f>'[2]CDCM Forecast Data'!C93</f>
        <v>0.14543111314497692</v>
      </c>
      <c r="D93" s="76">
        <f>'[2]CDCM Forecast Data'!D93</f>
        <v>0.14543111314497692</v>
      </c>
      <c r="E93" s="75">
        <f>'Smoothed Input Details'!E44</f>
        <v>0.14408187510851836</v>
      </c>
      <c r="F93" s="75">
        <f t="shared" si="16"/>
        <v>0.14408187510851836</v>
      </c>
      <c r="G93" s="75">
        <f t="shared" si="16"/>
        <v>0.14408187510851836</v>
      </c>
      <c r="H93" s="75">
        <f t="shared" si="16"/>
        <v>0.14408187510851836</v>
      </c>
      <c r="I93" s="75">
        <f t="shared" si="16"/>
        <v>0.14408187510851836</v>
      </c>
      <c r="J93" s="74"/>
    </row>
    <row r="94" spans="1:10">
      <c r="A94" s="68">
        <v>81</v>
      </c>
      <c r="B94" s="77" t="s">
        <v>56</v>
      </c>
      <c r="C94" s="76">
        <f>'[2]CDCM Forecast Data'!C94</f>
        <v>0.39360486185745186</v>
      </c>
      <c r="D94" s="76">
        <f>'[2]CDCM Forecast Data'!D94</f>
        <v>0.39360486185745186</v>
      </c>
      <c r="E94" s="75">
        <f>'Smoothed Input Details'!E45</f>
        <v>0.39168322631991553</v>
      </c>
      <c r="F94" s="75">
        <f t="shared" si="16"/>
        <v>0.39168322631991553</v>
      </c>
      <c r="G94" s="75">
        <f t="shared" si="16"/>
        <v>0.39168322631991553</v>
      </c>
      <c r="H94" s="75">
        <f t="shared" si="16"/>
        <v>0.39168322631991553</v>
      </c>
      <c r="I94" s="75">
        <f t="shared" si="16"/>
        <v>0.39168322631991553</v>
      </c>
      <c r="J94" s="74"/>
    </row>
    <row r="95" spans="1:10">
      <c r="A95" s="68">
        <v>82</v>
      </c>
      <c r="B95" s="77" t="s">
        <v>57</v>
      </c>
      <c r="C95" s="76">
        <f>'[2]CDCM Forecast Data'!C95</f>
        <v>0.44733721058300141</v>
      </c>
      <c r="D95" s="76">
        <f>'[2]CDCM Forecast Data'!D95</f>
        <v>0.44733721058300141</v>
      </c>
      <c r="E95" s="75">
        <f>'Smoothed Input Details'!E46</f>
        <v>0.4286725135799398</v>
      </c>
      <c r="F95" s="75">
        <f t="shared" si="16"/>
        <v>0.4286725135799398</v>
      </c>
      <c r="G95" s="75">
        <f t="shared" si="16"/>
        <v>0.4286725135799398</v>
      </c>
      <c r="H95" s="75">
        <f t="shared" si="16"/>
        <v>0.4286725135799398</v>
      </c>
      <c r="I95" s="75">
        <f t="shared" si="16"/>
        <v>0.4286725135799398</v>
      </c>
      <c r="J95" s="74"/>
    </row>
    <row r="96" spans="1:10">
      <c r="A96" s="68">
        <v>83</v>
      </c>
      <c r="B96" s="77" t="s">
        <v>92</v>
      </c>
      <c r="C96" s="76">
        <f>'[2]CDCM Forecast Data'!C96</f>
        <v>0.15297687807903185</v>
      </c>
      <c r="D96" s="76">
        <f>'[2]CDCM Forecast Data'!D96</f>
        <v>0.15297687807903185</v>
      </c>
      <c r="E96" s="75">
        <f>'Smoothed Input Details'!E47</f>
        <v>0.15294404542816803</v>
      </c>
      <c r="F96" s="75">
        <f t="shared" si="16"/>
        <v>0.15294404542816803</v>
      </c>
      <c r="G96" s="75">
        <f t="shared" si="16"/>
        <v>0.15294404542816803</v>
      </c>
      <c r="H96" s="75">
        <f t="shared" si="16"/>
        <v>0.15294404542816803</v>
      </c>
      <c r="I96" s="75">
        <f t="shared" si="16"/>
        <v>0.15294404542816803</v>
      </c>
      <c r="J96" s="74"/>
    </row>
    <row r="97" spans="1:10">
      <c r="A97" s="68">
        <v>84</v>
      </c>
      <c r="B97" s="77" t="s">
        <v>58</v>
      </c>
      <c r="C97" s="76">
        <f>'[2]CDCM Forecast Data'!C97</f>
        <v>0.59522728401108771</v>
      </c>
      <c r="D97" s="76">
        <f>'[2]CDCM Forecast Data'!D97</f>
        <v>0.59522728401108771</v>
      </c>
      <c r="E97" s="75">
        <f>'Smoothed Input Details'!E48</f>
        <v>0.59360150796757727</v>
      </c>
      <c r="F97" s="75">
        <f t="shared" si="16"/>
        <v>0.59360150796757727</v>
      </c>
      <c r="G97" s="75">
        <f t="shared" si="16"/>
        <v>0.59360150796757727</v>
      </c>
      <c r="H97" s="75">
        <f t="shared" si="16"/>
        <v>0.59360150796757727</v>
      </c>
      <c r="I97" s="75">
        <f t="shared" si="16"/>
        <v>0.59360150796757727</v>
      </c>
      <c r="J97" s="74"/>
    </row>
    <row r="98" spans="1:10">
      <c r="A98" s="68">
        <v>85</v>
      </c>
      <c r="B98" s="77" t="s">
        <v>59</v>
      </c>
      <c r="C98" s="76">
        <f>'[2]CDCM Forecast Data'!C98</f>
        <v>0.60266793443862909</v>
      </c>
      <c r="D98" s="76">
        <f>'[2]CDCM Forecast Data'!D98</f>
        <v>0.60266793443862909</v>
      </c>
      <c r="E98" s="75">
        <f>'Smoothed Input Details'!E49</f>
        <v>0.60009005575416807</v>
      </c>
      <c r="F98" s="75">
        <f t="shared" si="16"/>
        <v>0.60009005575416807</v>
      </c>
      <c r="G98" s="75">
        <f t="shared" si="16"/>
        <v>0.60009005575416807</v>
      </c>
      <c r="H98" s="75">
        <f t="shared" si="16"/>
        <v>0.60009005575416807</v>
      </c>
      <c r="I98" s="75">
        <f t="shared" si="16"/>
        <v>0.60009005575416807</v>
      </c>
      <c r="J98" s="74"/>
    </row>
    <row r="99" spans="1:10">
      <c r="A99" s="68">
        <v>86</v>
      </c>
      <c r="B99" s="77" t="s">
        <v>72</v>
      </c>
      <c r="C99" s="76">
        <f>'[2]CDCM Forecast Data'!C99</f>
        <v>0.48549064481876009</v>
      </c>
      <c r="D99" s="76">
        <f>'[2]CDCM Forecast Data'!D99</f>
        <v>0.48549064481876009</v>
      </c>
      <c r="E99" s="75">
        <f>'Smoothed Input Details'!E50</f>
        <v>0.45490842079580179</v>
      </c>
      <c r="F99" s="75">
        <f t="shared" si="16"/>
        <v>0.45490842079580179</v>
      </c>
      <c r="G99" s="75">
        <f t="shared" si="16"/>
        <v>0.45490842079580179</v>
      </c>
      <c r="H99" s="75">
        <f t="shared" si="16"/>
        <v>0.45490842079580179</v>
      </c>
      <c r="I99" s="75">
        <f t="shared" si="16"/>
        <v>0.45490842079580179</v>
      </c>
      <c r="J99" s="74"/>
    </row>
    <row r="100" spans="1:10">
      <c r="A100" s="68">
        <v>87</v>
      </c>
      <c r="B100" s="77" t="s">
        <v>1178</v>
      </c>
      <c r="C100" s="76">
        <f>'[2]CDCM Forecast Data'!C100</f>
        <v>0.38733963629464679</v>
      </c>
      <c r="D100" s="76">
        <f>'[2]CDCM Forecast Data'!D100</f>
        <v>0.38733963629464679</v>
      </c>
      <c r="E100" s="75">
        <f>'Smoothed Input Details'!E51</f>
        <v>0.38999288958750616</v>
      </c>
      <c r="F100" s="75">
        <f t="shared" si="16"/>
        <v>0.38999288958750616</v>
      </c>
      <c r="G100" s="75">
        <f t="shared" si="16"/>
        <v>0.38999288958750616</v>
      </c>
      <c r="H100" s="75">
        <f t="shared" si="16"/>
        <v>0.38999288958750616</v>
      </c>
      <c r="I100" s="75">
        <f t="shared" si="16"/>
        <v>0.38999288958750616</v>
      </c>
      <c r="J100" s="74"/>
    </row>
    <row r="101" spans="1:10">
      <c r="A101" s="68">
        <v>88</v>
      </c>
      <c r="B101" s="77" t="s">
        <v>1177</v>
      </c>
      <c r="C101" s="76">
        <f>'[2]CDCM Forecast Data'!C101</f>
        <v>0.39820774703227385</v>
      </c>
      <c r="D101" s="76">
        <f>'[2]CDCM Forecast Data'!D101</f>
        <v>0.39820774703227385</v>
      </c>
      <c r="E101" s="75">
        <f>'Smoothed Input Details'!E52</f>
        <v>0.39304953059499698</v>
      </c>
      <c r="F101" s="75">
        <f t="shared" si="16"/>
        <v>0.39304953059499698</v>
      </c>
      <c r="G101" s="75">
        <f t="shared" si="16"/>
        <v>0.39304953059499698</v>
      </c>
      <c r="H101" s="75">
        <f t="shared" si="16"/>
        <v>0.39304953059499698</v>
      </c>
      <c r="I101" s="75">
        <f t="shared" si="16"/>
        <v>0.39304953059499698</v>
      </c>
      <c r="J101" s="74"/>
    </row>
    <row r="102" spans="1:10">
      <c r="A102" s="68">
        <v>89</v>
      </c>
      <c r="B102" s="77" t="s">
        <v>60</v>
      </c>
      <c r="C102" s="76">
        <f>'[2]CDCM Forecast Data'!C102</f>
        <v>0.5906997178260448</v>
      </c>
      <c r="D102" s="76">
        <f>'[2]CDCM Forecast Data'!D102</f>
        <v>0.5906997178260448</v>
      </c>
      <c r="E102" s="75">
        <f>'Smoothed Input Details'!E53</f>
        <v>0.58758032453585229</v>
      </c>
      <c r="F102" s="75">
        <f t="shared" si="16"/>
        <v>0.58758032453585229</v>
      </c>
      <c r="G102" s="75">
        <f t="shared" si="16"/>
        <v>0.58758032453585229</v>
      </c>
      <c r="H102" s="75">
        <f t="shared" si="16"/>
        <v>0.58758032453585229</v>
      </c>
      <c r="I102" s="75">
        <f t="shared" si="16"/>
        <v>0.58758032453585229</v>
      </c>
      <c r="J102" s="74"/>
    </row>
    <row r="103" spans="1:10">
      <c r="A103" s="68">
        <v>90</v>
      </c>
      <c r="B103" s="77" t="s">
        <v>61</v>
      </c>
      <c r="C103" s="76">
        <f>'[2]CDCM Forecast Data'!C103</f>
        <v>0.61451010345786983</v>
      </c>
      <c r="D103" s="76">
        <f>'[2]CDCM Forecast Data'!D103</f>
        <v>0.61451010345786983</v>
      </c>
      <c r="E103" s="75">
        <f>'Smoothed Input Details'!E54</f>
        <v>0.6115171758902811</v>
      </c>
      <c r="F103" s="75">
        <f t="shared" si="16"/>
        <v>0.6115171758902811</v>
      </c>
      <c r="G103" s="75">
        <f t="shared" si="16"/>
        <v>0.6115171758902811</v>
      </c>
      <c r="H103" s="75">
        <f t="shared" si="16"/>
        <v>0.6115171758902811</v>
      </c>
      <c r="I103" s="75">
        <f t="shared" si="16"/>
        <v>0.6115171758902811</v>
      </c>
      <c r="J103" s="74"/>
    </row>
    <row r="104" spans="1:10">
      <c r="A104" s="68">
        <v>91</v>
      </c>
      <c r="B104" s="77" t="s">
        <v>73</v>
      </c>
      <c r="C104" s="76">
        <f>'[2]CDCM Forecast Data'!C104</f>
        <v>0.72214194624239292</v>
      </c>
      <c r="D104" s="76">
        <f>'[2]CDCM Forecast Data'!D104</f>
        <v>0.72214194624239292</v>
      </c>
      <c r="E104" s="75">
        <f>'Smoothed Input Details'!E55</f>
        <v>0.72287194628784801</v>
      </c>
      <c r="F104" s="75">
        <f t="shared" si="16"/>
        <v>0.72287194628784801</v>
      </c>
      <c r="G104" s="75">
        <f t="shared" si="16"/>
        <v>0.72287194628784801</v>
      </c>
      <c r="H104" s="75">
        <f t="shared" si="16"/>
        <v>0.72287194628784801</v>
      </c>
      <c r="I104" s="75">
        <f t="shared" si="16"/>
        <v>0.72287194628784801</v>
      </c>
      <c r="J104" s="74"/>
    </row>
    <row r="105" spans="1:10">
      <c r="A105" s="68">
        <v>92</v>
      </c>
      <c r="B105" s="77" t="s">
        <v>93</v>
      </c>
      <c r="C105" s="76">
        <f>'[2]CDCM Forecast Data'!C105</f>
        <v>1</v>
      </c>
      <c r="D105" s="76">
        <f>'[2]CDCM Forecast Data'!D105</f>
        <v>1</v>
      </c>
      <c r="E105" s="75">
        <f>'Smoothed Input Details'!E56</f>
        <v>1</v>
      </c>
      <c r="F105" s="75">
        <f t="shared" si="16"/>
        <v>1</v>
      </c>
      <c r="G105" s="75">
        <f t="shared" si="16"/>
        <v>1</v>
      </c>
      <c r="H105" s="75">
        <f t="shared" si="16"/>
        <v>1</v>
      </c>
      <c r="I105" s="75">
        <f t="shared" si="16"/>
        <v>1</v>
      </c>
      <c r="J105" s="74"/>
    </row>
    <row r="106" spans="1:10">
      <c r="A106" s="68">
        <v>93</v>
      </c>
      <c r="B106" s="77" t="s">
        <v>94</v>
      </c>
      <c r="C106" s="76">
        <f>'[2]CDCM Forecast Data'!C106</f>
        <v>0.47553661686096449</v>
      </c>
      <c r="D106" s="76">
        <f>'[2]CDCM Forecast Data'!D106</f>
        <v>0.47553661686096449</v>
      </c>
      <c r="E106" s="75">
        <f>'Smoothed Input Details'!E57</f>
        <v>0.47495478910775929</v>
      </c>
      <c r="F106" s="75">
        <f t="shared" si="16"/>
        <v>0.47495478910775929</v>
      </c>
      <c r="G106" s="75">
        <f t="shared" si="16"/>
        <v>0.47495478910775929</v>
      </c>
      <c r="H106" s="75">
        <f t="shared" si="16"/>
        <v>0.47495478910775929</v>
      </c>
      <c r="I106" s="75">
        <f t="shared" si="16"/>
        <v>0.47495478910775929</v>
      </c>
      <c r="J106" s="74"/>
    </row>
    <row r="107" spans="1:10">
      <c r="A107" s="68">
        <v>94</v>
      </c>
      <c r="B107" s="77" t="s">
        <v>95</v>
      </c>
      <c r="C107" s="76">
        <f>'[2]CDCM Forecast Data'!C107</f>
        <v>0.24606821655925035</v>
      </c>
      <c r="D107" s="76">
        <f>'[2]CDCM Forecast Data'!D107</f>
        <v>0.24606821655925035</v>
      </c>
      <c r="E107" s="75">
        <f>'Smoothed Input Details'!E58</f>
        <v>0.24631614975022856</v>
      </c>
      <c r="F107" s="75">
        <f t="shared" ref="F107:I109" si="17">E107</f>
        <v>0.24631614975022856</v>
      </c>
      <c r="G107" s="75">
        <f t="shared" si="17"/>
        <v>0.24631614975022856</v>
      </c>
      <c r="H107" s="75">
        <f t="shared" si="17"/>
        <v>0.24631614975022856</v>
      </c>
      <c r="I107" s="75">
        <f t="shared" si="17"/>
        <v>0.24631614975022856</v>
      </c>
      <c r="J107" s="74"/>
    </row>
    <row r="108" spans="1:10">
      <c r="A108" s="68">
        <v>95</v>
      </c>
      <c r="B108" s="77" t="s">
        <v>96</v>
      </c>
      <c r="C108" s="76">
        <f>'[2]CDCM Forecast Data'!C108</f>
        <v>0.51524303477250144</v>
      </c>
      <c r="D108" s="76">
        <f>'[2]CDCM Forecast Data'!D108</f>
        <v>0.51524303477250144</v>
      </c>
      <c r="E108" s="75">
        <f>'Smoothed Input Details'!E59</f>
        <v>0.51526593887289751</v>
      </c>
      <c r="F108" s="75">
        <f t="shared" si="17"/>
        <v>0.51526593887289751</v>
      </c>
      <c r="G108" s="75">
        <f t="shared" si="17"/>
        <v>0.51526593887289751</v>
      </c>
      <c r="H108" s="75">
        <f t="shared" si="17"/>
        <v>0.51526593887289751</v>
      </c>
      <c r="I108" s="75">
        <f t="shared" si="17"/>
        <v>0.51526593887289751</v>
      </c>
      <c r="J108" s="74"/>
    </row>
    <row r="109" spans="1:10">
      <c r="A109" s="68">
        <v>96</v>
      </c>
      <c r="B109" s="77" t="s">
        <v>97</v>
      </c>
      <c r="C109" s="76">
        <f>'[2]CDCM Forecast Data'!C109</f>
        <v>0.46048277655840636</v>
      </c>
      <c r="D109" s="76">
        <f>'[2]CDCM Forecast Data'!D109</f>
        <v>0.46048277655840636</v>
      </c>
      <c r="E109" s="75">
        <f>'Smoothed Input Details'!E60</f>
        <v>0.45549294344669516</v>
      </c>
      <c r="F109" s="75">
        <f t="shared" si="17"/>
        <v>0.45549294344669516</v>
      </c>
      <c r="G109" s="75">
        <f t="shared" si="17"/>
        <v>0.45549294344669516</v>
      </c>
      <c r="H109" s="75">
        <f t="shared" si="17"/>
        <v>0.45549294344669516</v>
      </c>
      <c r="I109" s="75">
        <f t="shared" si="17"/>
        <v>0.45549294344669516</v>
      </c>
      <c r="J109" s="74"/>
    </row>
    <row r="110" spans="1:10">
      <c r="A110" s="68">
        <v>97</v>
      </c>
      <c r="B110" s="90" t="s">
        <v>98</v>
      </c>
      <c r="C110" s="72"/>
      <c r="D110" s="72"/>
      <c r="E110" s="72"/>
      <c r="F110" s="72"/>
      <c r="G110" s="72"/>
      <c r="H110" s="72"/>
      <c r="I110" s="72"/>
      <c r="J110" s="71"/>
    </row>
    <row r="111" spans="1:10">
      <c r="A111" s="68">
        <v>98</v>
      </c>
      <c r="B111" s="73" t="s">
        <v>1036</v>
      </c>
      <c r="C111" s="79">
        <f>'[2]CDCM Forecast Data'!C111</f>
        <v>8658635.3253648207</v>
      </c>
      <c r="D111" s="79">
        <f>'[2]CDCM Forecast Data'!D111</f>
        <v>8918394.3851257712</v>
      </c>
      <c r="E111" s="78">
        <f>'[2]CDCM Forecast Data'!E111</f>
        <v>8442465.8795590196</v>
      </c>
      <c r="F111" s="245">
        <f>'[2]CDCM Forecast Data'!F111</f>
        <v>9263214.2317964789</v>
      </c>
      <c r="G111" s="245">
        <f>'[2]CDCM Forecast Data'!G111</f>
        <v>9561016.3813804574</v>
      </c>
      <c r="H111" s="245">
        <f>'[2]CDCM Forecast Data'!H111</f>
        <v>9850981.6322911773</v>
      </c>
      <c r="I111" s="245">
        <f>'[2]CDCM Forecast Data'!I111</f>
        <v>10140946.883201897</v>
      </c>
      <c r="J111" s="74"/>
    </row>
    <row r="112" spans="1:10">
      <c r="A112" s="68">
        <v>99</v>
      </c>
      <c r="B112" s="73" t="s">
        <v>1035</v>
      </c>
      <c r="C112" s="72"/>
      <c r="D112" s="72"/>
      <c r="E112" s="72"/>
      <c r="F112" s="72"/>
      <c r="G112" s="72"/>
      <c r="H112" s="72"/>
      <c r="I112" s="72"/>
      <c r="J112" s="71"/>
    </row>
    <row r="113" spans="1:10">
      <c r="A113" s="68">
        <v>100</v>
      </c>
      <c r="B113" s="77" t="s">
        <v>173</v>
      </c>
      <c r="C113" s="79">
        <f>'[2]CDCM Forecast Data'!C113</f>
        <v>26646449.882456504</v>
      </c>
      <c r="D113" s="79">
        <f>'[2]CDCM Forecast Data'!D113</f>
        <v>27171630.881074961</v>
      </c>
      <c r="E113" s="78">
        <f>'[2]CDCM Forecast Data'!E113</f>
        <v>33743177.6534563</v>
      </c>
      <c r="F113" s="245">
        <f>'[2]CDCM Forecast Data'!F113</f>
        <v>34765698.188409522</v>
      </c>
      <c r="G113" s="245">
        <f>'[2]CDCM Forecast Data'!G113</f>
        <v>35846648.468217216</v>
      </c>
      <c r="H113" s="245">
        <f>'[2]CDCM Forecast Data'!H113</f>
        <v>36898383.875597671</v>
      </c>
      <c r="I113" s="245">
        <f>'[2]CDCM Forecast Data'!I113</f>
        <v>38037763.900259838</v>
      </c>
      <c r="J113" s="74"/>
    </row>
    <row r="114" spans="1:10">
      <c r="A114" s="68">
        <v>101</v>
      </c>
      <c r="B114" s="77" t="s">
        <v>174</v>
      </c>
      <c r="C114" s="79">
        <f>'[2]CDCM Forecast Data'!C114</f>
        <v>97449575.421982497</v>
      </c>
      <c r="D114" s="79">
        <f>'[2]CDCM Forecast Data'!D114</f>
        <v>95114172.402925044</v>
      </c>
      <c r="E114" s="78">
        <f>'[2]CDCM Forecast Data'!E114</f>
        <v>100910650.80992401</v>
      </c>
      <c r="F114" s="245">
        <f>'[2]CDCM Forecast Data'!F114</f>
        <v>103968549.31931564</v>
      </c>
      <c r="G114" s="245">
        <f>'[2]CDCM Forecast Data'!G114</f>
        <v>107201184.88638681</v>
      </c>
      <c r="H114" s="245">
        <f>'[2]CDCM Forecast Data'!H114</f>
        <v>110346451.9246182</v>
      </c>
      <c r="I114" s="245">
        <f>'[2]CDCM Forecast Data'!I114</f>
        <v>113753824.54936889</v>
      </c>
      <c r="J114" s="74"/>
    </row>
    <row r="115" spans="1:10">
      <c r="A115" s="68">
        <v>102</v>
      </c>
      <c r="B115" s="77" t="s">
        <v>175</v>
      </c>
      <c r="C115" s="89">
        <f>'[2]CDCM Forecast Data'!C115</f>
        <v>0.6</v>
      </c>
      <c r="D115" s="89">
        <f>'[2]CDCM Forecast Data'!D115</f>
        <v>0.6</v>
      </c>
      <c r="E115" s="89">
        <f>'[2]CDCM Forecast Data'!E115</f>
        <v>0.6</v>
      </c>
      <c r="F115" s="246">
        <f>'[2]CDCM Forecast Data'!F115</f>
        <v>0.6</v>
      </c>
      <c r="G115" s="246">
        <f>'[2]CDCM Forecast Data'!G115</f>
        <v>0.6</v>
      </c>
      <c r="H115" s="246">
        <f>'[2]CDCM Forecast Data'!H115</f>
        <v>0.6</v>
      </c>
      <c r="I115" s="246">
        <f>'[2]CDCM Forecast Data'!I115</f>
        <v>0.6</v>
      </c>
      <c r="J115" s="74"/>
    </row>
    <row r="116" spans="1:10">
      <c r="A116" s="68">
        <v>103</v>
      </c>
      <c r="B116" s="77" t="s">
        <v>176</v>
      </c>
      <c r="C116" s="79">
        <f>'[2]CDCM Forecast Data'!C116</f>
        <v>15752928</v>
      </c>
      <c r="D116" s="79">
        <f>'[2]CDCM Forecast Data'!D116</f>
        <v>18218261.232000001</v>
      </c>
      <c r="E116" s="78">
        <f>'[2]CDCM Forecast Data'!E116</f>
        <v>19601920</v>
      </c>
      <c r="F116" s="245">
        <f>'[2]CDCM Forecast Data'!F116</f>
        <v>20157440</v>
      </c>
      <c r="G116" s="245">
        <f>'[2]CDCM Forecast Data'!G116</f>
        <v>20752640</v>
      </c>
      <c r="H116" s="245">
        <f>'[2]CDCM Forecast Data'!H116</f>
        <v>21149440</v>
      </c>
      <c r="I116" s="245">
        <f>'[2]CDCM Forecast Data'!I116</f>
        <v>21802510.59382423</v>
      </c>
      <c r="J116" s="74"/>
    </row>
    <row r="117" spans="1:10">
      <c r="A117" s="68">
        <v>104</v>
      </c>
      <c r="B117" s="73" t="s">
        <v>1034</v>
      </c>
      <c r="C117" s="72"/>
      <c r="D117" s="72"/>
      <c r="E117" s="72"/>
      <c r="F117" s="72"/>
      <c r="G117" s="72"/>
      <c r="H117" s="72"/>
      <c r="I117" s="72"/>
      <c r="J117" s="71"/>
    </row>
    <row r="118" spans="1:10">
      <c r="A118" s="68">
        <v>105</v>
      </c>
      <c r="B118" s="73" t="s">
        <v>190</v>
      </c>
      <c r="C118" s="72"/>
      <c r="D118" s="72"/>
      <c r="E118" s="72"/>
      <c r="F118" s="72"/>
      <c r="G118" s="72"/>
      <c r="H118" s="72"/>
      <c r="I118" s="72"/>
      <c r="J118" s="71"/>
    </row>
    <row r="119" spans="1:10">
      <c r="A119" s="68">
        <v>106</v>
      </c>
      <c r="B119" s="86" t="s">
        <v>314</v>
      </c>
      <c r="C119" s="84">
        <f>'[2]CDCM Forecast Data'!C119</f>
        <v>0</v>
      </c>
      <c r="D119" s="84">
        <f>'[2]CDCM Forecast Data'!D119</f>
        <v>0</v>
      </c>
      <c r="E119" s="84">
        <f>'[2]CDCM Forecast Data'!E119</f>
        <v>0</v>
      </c>
      <c r="F119" s="84">
        <f>'[2]CDCM Forecast Data'!F119</f>
        <v>0</v>
      </c>
      <c r="G119" s="84">
        <f>'[2]CDCM Forecast Data'!G119</f>
        <v>0</v>
      </c>
      <c r="H119" s="84">
        <f>'[2]CDCM Forecast Data'!H119</f>
        <v>0</v>
      </c>
      <c r="I119" s="84">
        <f>'[2]CDCM Forecast Data'!I119</f>
        <v>0</v>
      </c>
      <c r="J119" s="74"/>
    </row>
    <row r="120" spans="1:10">
      <c r="A120" s="68">
        <v>107</v>
      </c>
      <c r="B120" s="86" t="s">
        <v>315</v>
      </c>
      <c r="C120" s="84">
        <f>'[2]CDCM Forecast Data'!C120</f>
        <v>0</v>
      </c>
      <c r="D120" s="84">
        <f>'[2]CDCM Forecast Data'!D120</f>
        <v>0</v>
      </c>
      <c r="E120" s="84">
        <f>'[2]CDCM Forecast Data'!E120</f>
        <v>0</v>
      </c>
      <c r="F120" s="84">
        <f>'[2]CDCM Forecast Data'!F120</f>
        <v>0</v>
      </c>
      <c r="G120" s="84">
        <f>'[2]CDCM Forecast Data'!G120</f>
        <v>0</v>
      </c>
      <c r="H120" s="84">
        <f>'[2]CDCM Forecast Data'!H120</f>
        <v>0</v>
      </c>
      <c r="I120" s="84">
        <f>'[2]CDCM Forecast Data'!I120</f>
        <v>0</v>
      </c>
      <c r="J120" s="74"/>
    </row>
    <row r="121" spans="1:10">
      <c r="A121" s="68">
        <v>108</v>
      </c>
      <c r="B121" s="77" t="s">
        <v>316</v>
      </c>
      <c r="C121" s="84">
        <f>'[2]CDCM Forecast Data'!C121</f>
        <v>0</v>
      </c>
      <c r="D121" s="84">
        <f>'[2]CDCM Forecast Data'!D121</f>
        <v>0</v>
      </c>
      <c r="E121" s="84">
        <f>'[2]CDCM Forecast Data'!E121</f>
        <v>0</v>
      </c>
      <c r="F121" s="84">
        <f>'[2]CDCM Forecast Data'!F121</f>
        <v>0</v>
      </c>
      <c r="G121" s="84">
        <f>'[2]CDCM Forecast Data'!G121</f>
        <v>0</v>
      </c>
      <c r="H121" s="84">
        <f>'[2]CDCM Forecast Data'!H121</f>
        <v>0</v>
      </c>
      <c r="I121" s="84">
        <f>'[2]CDCM Forecast Data'!I121</f>
        <v>0</v>
      </c>
      <c r="J121" s="74"/>
    </row>
    <row r="122" spans="1:10">
      <c r="A122" s="68">
        <v>109</v>
      </c>
      <c r="B122" s="77" t="s">
        <v>317</v>
      </c>
      <c r="C122" s="84">
        <f>'[2]CDCM Forecast Data'!C122</f>
        <v>0.81</v>
      </c>
      <c r="D122" s="84">
        <f>'[2]CDCM Forecast Data'!D122</f>
        <v>0.81</v>
      </c>
      <c r="E122" s="84">
        <f>'[2]CDCM Forecast Data'!E122</f>
        <v>0.81</v>
      </c>
      <c r="F122" s="84">
        <f>'[2]CDCM Forecast Data'!F122</f>
        <v>0.81</v>
      </c>
      <c r="G122" s="84">
        <f>'[2]CDCM Forecast Data'!G122</f>
        <v>0.81</v>
      </c>
      <c r="H122" s="84">
        <f>'[2]CDCM Forecast Data'!H122</f>
        <v>0.81</v>
      </c>
      <c r="I122" s="84">
        <f>'[2]CDCM Forecast Data'!I122</f>
        <v>0.81</v>
      </c>
      <c r="J122" s="74"/>
    </row>
    <row r="123" spans="1:10">
      <c r="A123" s="68">
        <v>110</v>
      </c>
      <c r="B123" s="77" t="s">
        <v>318</v>
      </c>
      <c r="C123" s="84">
        <f>'[2]CDCM Forecast Data'!C123</f>
        <v>0</v>
      </c>
      <c r="D123" s="84">
        <f>'[2]CDCM Forecast Data'!D123</f>
        <v>0</v>
      </c>
      <c r="E123" s="84">
        <f>'[2]CDCM Forecast Data'!E123</f>
        <v>0</v>
      </c>
      <c r="F123" s="84">
        <f>'[2]CDCM Forecast Data'!F123</f>
        <v>0</v>
      </c>
      <c r="G123" s="84">
        <f>'[2]CDCM Forecast Data'!G123</f>
        <v>0</v>
      </c>
      <c r="H123" s="84">
        <f>'[2]CDCM Forecast Data'!H123</f>
        <v>0</v>
      </c>
      <c r="I123" s="84">
        <f>'[2]CDCM Forecast Data'!I123</f>
        <v>0</v>
      </c>
      <c r="J123" s="74"/>
    </row>
    <row r="124" spans="1:10">
      <c r="A124" s="68">
        <v>111</v>
      </c>
      <c r="B124" s="77" t="s">
        <v>319</v>
      </c>
      <c r="C124" s="84">
        <f>'[2]CDCM Forecast Data'!C124</f>
        <v>0.81</v>
      </c>
      <c r="D124" s="84">
        <f>'[2]CDCM Forecast Data'!D124</f>
        <v>0.81</v>
      </c>
      <c r="E124" s="84">
        <f>'[2]CDCM Forecast Data'!E124</f>
        <v>0.81</v>
      </c>
      <c r="F124" s="84">
        <f>'[2]CDCM Forecast Data'!F124</f>
        <v>0.81</v>
      </c>
      <c r="G124" s="84">
        <f>'[2]CDCM Forecast Data'!G124</f>
        <v>0.81</v>
      </c>
      <c r="H124" s="84">
        <f>'[2]CDCM Forecast Data'!H124</f>
        <v>0.81</v>
      </c>
      <c r="I124" s="84">
        <f>'[2]CDCM Forecast Data'!I124</f>
        <v>0.81</v>
      </c>
      <c r="J124" s="74"/>
    </row>
    <row r="125" spans="1:10">
      <c r="A125" s="68">
        <v>112</v>
      </c>
      <c r="B125" s="77" t="s">
        <v>320</v>
      </c>
      <c r="C125" s="84">
        <f>'[2]CDCM Forecast Data'!C125</f>
        <v>0.95</v>
      </c>
      <c r="D125" s="84">
        <f>'[2]CDCM Forecast Data'!D125</f>
        <v>0.95</v>
      </c>
      <c r="E125" s="84">
        <f>'[2]CDCM Forecast Data'!E125</f>
        <v>0.95</v>
      </c>
      <c r="F125" s="84">
        <f>'[2]CDCM Forecast Data'!F125</f>
        <v>0.95</v>
      </c>
      <c r="G125" s="84">
        <f>'[2]CDCM Forecast Data'!G125</f>
        <v>0.95</v>
      </c>
      <c r="H125" s="84">
        <f>'[2]CDCM Forecast Data'!H125</f>
        <v>0.95</v>
      </c>
      <c r="I125" s="84">
        <f>'[2]CDCM Forecast Data'!I125</f>
        <v>0.95</v>
      </c>
      <c r="J125" s="74"/>
    </row>
    <row r="126" spans="1:10">
      <c r="A126" s="68">
        <v>113</v>
      </c>
      <c r="B126" s="77" t="s">
        <v>321</v>
      </c>
      <c r="C126" s="84">
        <f>'[2]CDCM Forecast Data'!C126</f>
        <v>0.95</v>
      </c>
      <c r="D126" s="84">
        <f>'[2]CDCM Forecast Data'!D126</f>
        <v>0.95</v>
      </c>
      <c r="E126" s="84">
        <f>'[2]CDCM Forecast Data'!E126</f>
        <v>0.95</v>
      </c>
      <c r="F126" s="84">
        <f>'[2]CDCM Forecast Data'!F126</f>
        <v>0.95</v>
      </c>
      <c r="G126" s="84">
        <f>'[2]CDCM Forecast Data'!G126</f>
        <v>0.95</v>
      </c>
      <c r="H126" s="84">
        <f>'[2]CDCM Forecast Data'!H126</f>
        <v>0.95</v>
      </c>
      <c r="I126" s="84">
        <f>'[2]CDCM Forecast Data'!I126</f>
        <v>0.95</v>
      </c>
      <c r="J126" s="74"/>
    </row>
    <row r="127" spans="1:10">
      <c r="A127" s="68">
        <v>114</v>
      </c>
      <c r="B127" s="73" t="s">
        <v>191</v>
      </c>
      <c r="C127" s="72"/>
      <c r="D127" s="72"/>
      <c r="E127" s="87"/>
      <c r="F127" s="87"/>
      <c r="G127" s="87"/>
      <c r="H127" s="87"/>
      <c r="I127" s="87"/>
      <c r="J127" s="71"/>
    </row>
    <row r="128" spans="1:10">
      <c r="A128" s="68">
        <v>115</v>
      </c>
      <c r="B128" s="86" t="s">
        <v>314</v>
      </c>
      <c r="C128" s="81">
        <f>'[2]CDCM Forecast Data'!C128</f>
        <v>0</v>
      </c>
      <c r="D128" s="81">
        <f>'[2]CDCM Forecast Data'!D128</f>
        <v>0</v>
      </c>
      <c r="E128" s="81">
        <f>'[2]CDCM Forecast Data'!E128</f>
        <v>0</v>
      </c>
      <c r="F128" s="84">
        <f>'[2]CDCM Forecast Data'!F128</f>
        <v>0</v>
      </c>
      <c r="G128" s="84">
        <f>'[2]CDCM Forecast Data'!G128</f>
        <v>0</v>
      </c>
      <c r="H128" s="84">
        <f>'[2]CDCM Forecast Data'!H128</f>
        <v>0</v>
      </c>
      <c r="I128" s="84">
        <f>'[2]CDCM Forecast Data'!I128</f>
        <v>0</v>
      </c>
      <c r="J128" s="74"/>
    </row>
    <row r="129" spans="1:10">
      <c r="A129" s="68">
        <v>116</v>
      </c>
      <c r="B129" s="86" t="s">
        <v>315</v>
      </c>
      <c r="C129" s="81">
        <f>'[2]CDCM Forecast Data'!C129</f>
        <v>0</v>
      </c>
      <c r="D129" s="81">
        <f>'[2]CDCM Forecast Data'!D129</f>
        <v>0</v>
      </c>
      <c r="E129" s="81">
        <f>'[2]CDCM Forecast Data'!E129</f>
        <v>0</v>
      </c>
      <c r="F129" s="84">
        <f>'[2]CDCM Forecast Data'!F129</f>
        <v>0</v>
      </c>
      <c r="G129" s="84">
        <f>'[2]CDCM Forecast Data'!G129</f>
        <v>0</v>
      </c>
      <c r="H129" s="84">
        <f>'[2]CDCM Forecast Data'!H129</f>
        <v>0</v>
      </c>
      <c r="I129" s="84">
        <f>'[2]CDCM Forecast Data'!I129</f>
        <v>0</v>
      </c>
      <c r="J129" s="74"/>
    </row>
    <row r="130" spans="1:10">
      <c r="A130" s="68">
        <v>117</v>
      </c>
      <c r="B130" s="77" t="s">
        <v>316</v>
      </c>
      <c r="C130" s="81">
        <f>'[2]CDCM Forecast Data'!C130</f>
        <v>0</v>
      </c>
      <c r="D130" s="81">
        <f>'[2]CDCM Forecast Data'!D130</f>
        <v>0</v>
      </c>
      <c r="E130" s="81">
        <f>'[2]CDCM Forecast Data'!E130</f>
        <v>0</v>
      </c>
      <c r="F130" s="84">
        <f>'[2]CDCM Forecast Data'!F130</f>
        <v>0</v>
      </c>
      <c r="G130" s="84">
        <f>'[2]CDCM Forecast Data'!G130</f>
        <v>0</v>
      </c>
      <c r="H130" s="84">
        <f>'[2]CDCM Forecast Data'!H130</f>
        <v>0</v>
      </c>
      <c r="I130" s="84">
        <f>'[2]CDCM Forecast Data'!I130</f>
        <v>0</v>
      </c>
      <c r="J130" s="74"/>
    </row>
    <row r="131" spans="1:10">
      <c r="A131" s="68">
        <v>118</v>
      </c>
      <c r="B131" s="77" t="s">
        <v>317</v>
      </c>
      <c r="C131" s="81">
        <f>'[2]CDCM Forecast Data'!C131</f>
        <v>0.81</v>
      </c>
      <c r="D131" s="81">
        <f>'[2]CDCM Forecast Data'!D131</f>
        <v>0.81</v>
      </c>
      <c r="E131" s="81">
        <f>'[2]CDCM Forecast Data'!E131</f>
        <v>0.81</v>
      </c>
      <c r="F131" s="84">
        <f>'[2]CDCM Forecast Data'!F131</f>
        <v>0.81</v>
      </c>
      <c r="G131" s="84">
        <f>'[2]CDCM Forecast Data'!G131</f>
        <v>0.81</v>
      </c>
      <c r="H131" s="84">
        <f>'[2]CDCM Forecast Data'!H131</f>
        <v>0.81</v>
      </c>
      <c r="I131" s="84">
        <f>'[2]CDCM Forecast Data'!I131</f>
        <v>0.81</v>
      </c>
      <c r="J131" s="74"/>
    </row>
    <row r="132" spans="1:10">
      <c r="A132" s="68">
        <v>119</v>
      </c>
      <c r="B132" s="77" t="s">
        <v>318</v>
      </c>
      <c r="C132" s="81">
        <f>'[2]CDCM Forecast Data'!C132</f>
        <v>0</v>
      </c>
      <c r="D132" s="81">
        <f>'[2]CDCM Forecast Data'!D132</f>
        <v>0</v>
      </c>
      <c r="E132" s="84">
        <f>'[2]CDCM Forecast Data'!E132</f>
        <v>0</v>
      </c>
      <c r="F132" s="84">
        <f>'[2]CDCM Forecast Data'!F132</f>
        <v>0</v>
      </c>
      <c r="G132" s="84">
        <f>'[2]CDCM Forecast Data'!G132</f>
        <v>0</v>
      </c>
      <c r="H132" s="84">
        <f>'[2]CDCM Forecast Data'!H132</f>
        <v>0</v>
      </c>
      <c r="I132" s="84">
        <f>'[2]CDCM Forecast Data'!I132</f>
        <v>0</v>
      </c>
      <c r="J132" s="74"/>
    </row>
    <row r="133" spans="1:10">
      <c r="A133" s="68">
        <v>120</v>
      </c>
      <c r="B133" s="77" t="s">
        <v>319</v>
      </c>
      <c r="C133" s="81">
        <f>'[2]CDCM Forecast Data'!C133</f>
        <v>0.81</v>
      </c>
      <c r="D133" s="81">
        <f>'[2]CDCM Forecast Data'!D133</f>
        <v>0.81</v>
      </c>
      <c r="E133" s="84">
        <f>'[2]CDCM Forecast Data'!E133</f>
        <v>0.81</v>
      </c>
      <c r="F133" s="84">
        <f>'[2]CDCM Forecast Data'!F133</f>
        <v>0.81</v>
      </c>
      <c r="G133" s="84">
        <f>'[2]CDCM Forecast Data'!G133</f>
        <v>0.81</v>
      </c>
      <c r="H133" s="84">
        <f>'[2]CDCM Forecast Data'!H133</f>
        <v>0.81</v>
      </c>
      <c r="I133" s="84">
        <f>'[2]CDCM Forecast Data'!I133</f>
        <v>0.81</v>
      </c>
      <c r="J133" s="74"/>
    </row>
    <row r="134" spans="1:10">
      <c r="A134" s="68">
        <v>121</v>
      </c>
      <c r="B134" s="77" t="s">
        <v>320</v>
      </c>
      <c r="C134" s="81">
        <f>'[2]CDCM Forecast Data'!C134</f>
        <v>0.95</v>
      </c>
      <c r="D134" s="81">
        <f>'[2]CDCM Forecast Data'!D134</f>
        <v>0.95</v>
      </c>
      <c r="E134" s="81">
        <f>'[2]CDCM Forecast Data'!E134</f>
        <v>0.95</v>
      </c>
      <c r="F134" s="84">
        <f>'[2]CDCM Forecast Data'!F134</f>
        <v>0.95</v>
      </c>
      <c r="G134" s="84">
        <f>'[2]CDCM Forecast Data'!G134</f>
        <v>0.95</v>
      </c>
      <c r="H134" s="84">
        <f>'[2]CDCM Forecast Data'!H134</f>
        <v>0.95</v>
      </c>
      <c r="I134" s="84">
        <f>'[2]CDCM Forecast Data'!I134</f>
        <v>0.95</v>
      </c>
      <c r="J134" s="74"/>
    </row>
    <row r="135" spans="1:10">
      <c r="A135" s="68">
        <v>122</v>
      </c>
      <c r="B135" s="73" t="s">
        <v>192</v>
      </c>
      <c r="C135" s="72"/>
      <c r="D135" s="72"/>
      <c r="E135" s="87"/>
      <c r="F135" s="87"/>
      <c r="G135" s="87"/>
      <c r="H135" s="87"/>
      <c r="I135" s="87"/>
      <c r="J135" s="71"/>
    </row>
    <row r="136" spans="1:10">
      <c r="A136" s="68">
        <v>123</v>
      </c>
      <c r="B136" s="86" t="s">
        <v>314</v>
      </c>
      <c r="C136" s="81">
        <f>'[2]CDCM Forecast Data'!C136</f>
        <v>0</v>
      </c>
      <c r="D136" s="81">
        <f>'[2]CDCM Forecast Data'!D136</f>
        <v>0</v>
      </c>
      <c r="E136" s="81">
        <f>'[2]CDCM Forecast Data'!E136</f>
        <v>0</v>
      </c>
      <c r="F136" s="84">
        <f>'[2]CDCM Forecast Data'!F136</f>
        <v>0</v>
      </c>
      <c r="G136" s="84">
        <f>'[2]CDCM Forecast Data'!G136</f>
        <v>0</v>
      </c>
      <c r="H136" s="84">
        <f>'[2]CDCM Forecast Data'!H136</f>
        <v>0</v>
      </c>
      <c r="I136" s="84">
        <f>'[2]CDCM Forecast Data'!I136</f>
        <v>0</v>
      </c>
      <c r="J136" s="74"/>
    </row>
    <row r="137" spans="1:10">
      <c r="A137" s="68">
        <v>124</v>
      </c>
      <c r="B137" s="86" t="s">
        <v>315</v>
      </c>
      <c r="C137" s="81">
        <f>'[2]CDCM Forecast Data'!C137</f>
        <v>0.67</v>
      </c>
      <c r="D137" s="81">
        <f>'[2]CDCM Forecast Data'!D137</f>
        <v>0.67</v>
      </c>
      <c r="E137" s="81">
        <f>'[2]CDCM Forecast Data'!E137</f>
        <v>0.67</v>
      </c>
      <c r="F137" s="84">
        <f>'[2]CDCM Forecast Data'!F137</f>
        <v>0.67</v>
      </c>
      <c r="G137" s="84">
        <f>'[2]CDCM Forecast Data'!G137</f>
        <v>0.67</v>
      </c>
      <c r="H137" s="84">
        <f>'[2]CDCM Forecast Data'!H137</f>
        <v>0.67</v>
      </c>
      <c r="I137" s="84">
        <f>'[2]CDCM Forecast Data'!I137</f>
        <v>0.67</v>
      </c>
      <c r="J137" s="74"/>
    </row>
    <row r="138" spans="1:10">
      <c r="A138" s="68">
        <v>125</v>
      </c>
      <c r="B138" s="77" t="s">
        <v>316</v>
      </c>
      <c r="C138" s="81">
        <f>'[2]CDCM Forecast Data'!C138</f>
        <v>0.67</v>
      </c>
      <c r="D138" s="81">
        <f>'[2]CDCM Forecast Data'!D138</f>
        <v>0.67</v>
      </c>
      <c r="E138" s="81">
        <f>'[2]CDCM Forecast Data'!E138</f>
        <v>0.67</v>
      </c>
      <c r="F138" s="84">
        <f>'[2]CDCM Forecast Data'!F138</f>
        <v>0.67</v>
      </c>
      <c r="G138" s="84">
        <f>'[2]CDCM Forecast Data'!G138</f>
        <v>0.67</v>
      </c>
      <c r="H138" s="84">
        <f>'[2]CDCM Forecast Data'!H138</f>
        <v>0.67</v>
      </c>
      <c r="I138" s="84">
        <f>'[2]CDCM Forecast Data'!I138</f>
        <v>0.67</v>
      </c>
      <c r="J138" s="74"/>
    </row>
    <row r="139" spans="1:10">
      <c r="A139" s="68">
        <v>126</v>
      </c>
      <c r="B139" s="77" t="s">
        <v>317</v>
      </c>
      <c r="C139" s="81">
        <f>'[2]CDCM Forecast Data'!C139</f>
        <v>1</v>
      </c>
      <c r="D139" s="81">
        <f>'[2]CDCM Forecast Data'!D139</f>
        <v>1</v>
      </c>
      <c r="E139" s="81">
        <f>'[2]CDCM Forecast Data'!E139</f>
        <v>1</v>
      </c>
      <c r="F139" s="84">
        <f>'[2]CDCM Forecast Data'!F139</f>
        <v>1</v>
      </c>
      <c r="G139" s="84">
        <f>'[2]CDCM Forecast Data'!G139</f>
        <v>1</v>
      </c>
      <c r="H139" s="84">
        <f>'[2]CDCM Forecast Data'!H139</f>
        <v>1</v>
      </c>
      <c r="I139" s="84">
        <f>'[2]CDCM Forecast Data'!I139</f>
        <v>1</v>
      </c>
      <c r="J139" s="74"/>
    </row>
    <row r="140" spans="1:10">
      <c r="A140" s="68">
        <v>127</v>
      </c>
      <c r="B140" s="77" t="s">
        <v>318</v>
      </c>
      <c r="C140" s="81">
        <f>'[2]CDCM Forecast Data'!C140</f>
        <v>0</v>
      </c>
      <c r="D140" s="81">
        <f>'[2]CDCM Forecast Data'!D140</f>
        <v>0</v>
      </c>
      <c r="E140" s="81">
        <f>'[2]CDCM Forecast Data'!E140</f>
        <v>0</v>
      </c>
      <c r="F140" s="84">
        <f>'[2]CDCM Forecast Data'!F140</f>
        <v>0</v>
      </c>
      <c r="G140" s="84">
        <f>'[2]CDCM Forecast Data'!G140</f>
        <v>0</v>
      </c>
      <c r="H140" s="84">
        <f>'[2]CDCM Forecast Data'!H140</f>
        <v>0</v>
      </c>
      <c r="I140" s="84">
        <f>'[2]CDCM Forecast Data'!I140</f>
        <v>0</v>
      </c>
      <c r="J140" s="74"/>
    </row>
    <row r="141" spans="1:10">
      <c r="A141" s="68">
        <v>128</v>
      </c>
      <c r="B141" s="77" t="s">
        <v>319</v>
      </c>
      <c r="C141" s="81">
        <f>'[2]CDCM Forecast Data'!C141</f>
        <v>1</v>
      </c>
      <c r="D141" s="81">
        <f>'[2]CDCM Forecast Data'!D141</f>
        <v>1</v>
      </c>
      <c r="E141" s="81">
        <f>'[2]CDCM Forecast Data'!E141</f>
        <v>1</v>
      </c>
      <c r="F141" s="84">
        <f>'[2]CDCM Forecast Data'!F141</f>
        <v>1</v>
      </c>
      <c r="G141" s="84">
        <f>'[2]CDCM Forecast Data'!G141</f>
        <v>1</v>
      </c>
      <c r="H141" s="84">
        <f>'[2]CDCM Forecast Data'!H141</f>
        <v>1</v>
      </c>
      <c r="I141" s="84">
        <f>'[2]CDCM Forecast Data'!I141</f>
        <v>1</v>
      </c>
      <c r="J141" s="74"/>
    </row>
    <row r="142" spans="1:10">
      <c r="A142" s="68">
        <v>129</v>
      </c>
      <c r="B142" s="73" t="s">
        <v>193</v>
      </c>
      <c r="C142" s="72"/>
      <c r="D142" s="72"/>
      <c r="E142" s="87"/>
      <c r="F142" s="87"/>
      <c r="G142" s="87"/>
      <c r="H142" s="87"/>
      <c r="I142" s="87"/>
      <c r="J142" s="71"/>
    </row>
    <row r="143" spans="1:10">
      <c r="A143" s="68">
        <v>130</v>
      </c>
      <c r="B143" s="86" t="s">
        <v>314</v>
      </c>
      <c r="C143" s="81">
        <f>'[2]CDCM Forecast Data'!C143</f>
        <v>0</v>
      </c>
      <c r="D143" s="81">
        <f>'[2]CDCM Forecast Data'!D143</f>
        <v>0</v>
      </c>
      <c r="E143" s="81">
        <f>'[2]CDCM Forecast Data'!E143</f>
        <v>0</v>
      </c>
      <c r="F143" s="84">
        <f>'[2]CDCM Forecast Data'!F143</f>
        <v>0</v>
      </c>
      <c r="G143" s="84">
        <f>'[2]CDCM Forecast Data'!G143</f>
        <v>0</v>
      </c>
      <c r="H143" s="84">
        <f>'[2]CDCM Forecast Data'!H143</f>
        <v>0</v>
      </c>
      <c r="I143" s="84">
        <f>'[2]CDCM Forecast Data'!I143</f>
        <v>0</v>
      </c>
      <c r="J143" s="74"/>
    </row>
    <row r="144" spans="1:10">
      <c r="A144" s="68">
        <v>131</v>
      </c>
      <c r="B144" s="86" t="s">
        <v>315</v>
      </c>
      <c r="C144" s="81">
        <f>'[2]CDCM Forecast Data'!C144</f>
        <v>0.67</v>
      </c>
      <c r="D144" s="81">
        <f>'[2]CDCM Forecast Data'!D144</f>
        <v>0.67</v>
      </c>
      <c r="E144" s="81">
        <f>'[2]CDCM Forecast Data'!E144</f>
        <v>0.67</v>
      </c>
      <c r="F144" s="84">
        <f>'[2]CDCM Forecast Data'!F144</f>
        <v>0.67</v>
      </c>
      <c r="G144" s="84">
        <f>'[2]CDCM Forecast Data'!G144</f>
        <v>0.67</v>
      </c>
      <c r="H144" s="84">
        <f>'[2]CDCM Forecast Data'!H144</f>
        <v>0.67</v>
      </c>
      <c r="I144" s="84">
        <f>'[2]CDCM Forecast Data'!I144</f>
        <v>0.67</v>
      </c>
      <c r="J144" s="74"/>
    </row>
    <row r="145" spans="1:10">
      <c r="A145" s="68">
        <v>132</v>
      </c>
      <c r="B145" s="77" t="s">
        <v>316</v>
      </c>
      <c r="C145" s="81">
        <f>'[2]CDCM Forecast Data'!C145</f>
        <v>0.67</v>
      </c>
      <c r="D145" s="81">
        <f>'[2]CDCM Forecast Data'!D145</f>
        <v>0.67</v>
      </c>
      <c r="E145" s="81">
        <f>'[2]CDCM Forecast Data'!E145</f>
        <v>0.67</v>
      </c>
      <c r="F145" s="84">
        <f>'[2]CDCM Forecast Data'!F145</f>
        <v>0.67</v>
      </c>
      <c r="G145" s="84">
        <f>'[2]CDCM Forecast Data'!G145</f>
        <v>0.67</v>
      </c>
      <c r="H145" s="84">
        <f>'[2]CDCM Forecast Data'!H145</f>
        <v>0.67</v>
      </c>
      <c r="I145" s="84">
        <f>'[2]CDCM Forecast Data'!I145</f>
        <v>0.67</v>
      </c>
      <c r="J145" s="74"/>
    </row>
    <row r="146" spans="1:10">
      <c r="A146" s="68">
        <v>133</v>
      </c>
      <c r="B146" s="77" t="s">
        <v>317</v>
      </c>
      <c r="C146" s="81">
        <f>'[2]CDCM Forecast Data'!C146</f>
        <v>1</v>
      </c>
      <c r="D146" s="81">
        <f>'[2]CDCM Forecast Data'!D146</f>
        <v>1</v>
      </c>
      <c r="E146" s="81">
        <f>'[2]CDCM Forecast Data'!E146</f>
        <v>1</v>
      </c>
      <c r="F146" s="84">
        <f>'[2]CDCM Forecast Data'!F146</f>
        <v>1</v>
      </c>
      <c r="G146" s="84">
        <f>'[2]CDCM Forecast Data'!G146</f>
        <v>1</v>
      </c>
      <c r="H146" s="84">
        <f>'[2]CDCM Forecast Data'!H146</f>
        <v>1</v>
      </c>
      <c r="I146" s="84">
        <f>'[2]CDCM Forecast Data'!I146</f>
        <v>1</v>
      </c>
      <c r="J146" s="74"/>
    </row>
    <row r="147" spans="1:10">
      <c r="A147" s="68">
        <v>134</v>
      </c>
      <c r="B147" s="73" t="s">
        <v>1033</v>
      </c>
      <c r="C147" s="72"/>
      <c r="D147" s="72"/>
      <c r="E147" s="72"/>
      <c r="F147" s="72"/>
      <c r="G147" s="72"/>
      <c r="H147" s="72"/>
      <c r="I147" s="72"/>
      <c r="J147" s="71"/>
    </row>
    <row r="148" spans="1:10">
      <c r="A148" s="68">
        <v>135</v>
      </c>
      <c r="B148" s="83" t="s">
        <v>1028</v>
      </c>
      <c r="C148" s="72"/>
      <c r="D148" s="72"/>
      <c r="E148" s="72"/>
      <c r="F148" s="72"/>
      <c r="G148" s="72"/>
      <c r="H148" s="72"/>
      <c r="I148" s="72"/>
      <c r="J148" s="71"/>
    </row>
    <row r="149" spans="1:10">
      <c r="A149" s="68">
        <v>136</v>
      </c>
      <c r="B149" s="77" t="s">
        <v>54</v>
      </c>
      <c r="C149" s="81">
        <f>'[2]CDCM Forecast Data'!C149</f>
        <v>8.8620328973875062E-2</v>
      </c>
      <c r="D149" s="81">
        <f>'[2]CDCM Forecast Data'!D149</f>
        <v>8.8620328973875062E-2</v>
      </c>
      <c r="E149" s="80">
        <f>'Smoothed Input Details'!K70</f>
        <v>8.8740200313094042E-2</v>
      </c>
      <c r="F149" s="80">
        <f t="shared" ref="F149:I157" si="18">E149</f>
        <v>8.8740200313094042E-2</v>
      </c>
      <c r="G149" s="80">
        <f t="shared" si="18"/>
        <v>8.8740200313094042E-2</v>
      </c>
      <c r="H149" s="80">
        <f t="shared" si="18"/>
        <v>8.8740200313094042E-2</v>
      </c>
      <c r="I149" s="80">
        <f t="shared" si="18"/>
        <v>8.8740200313094042E-2</v>
      </c>
      <c r="J149" s="74"/>
    </row>
    <row r="150" spans="1:10">
      <c r="A150" s="68">
        <v>137</v>
      </c>
      <c r="B150" s="77" t="s">
        <v>55</v>
      </c>
      <c r="C150" s="81">
        <f>'[2]CDCM Forecast Data'!C150</f>
        <v>0.10676798615417167</v>
      </c>
      <c r="D150" s="81">
        <f>'[2]CDCM Forecast Data'!D150</f>
        <v>0.10676798615417167</v>
      </c>
      <c r="E150" s="80">
        <f>'Smoothed Input Details'!K71</f>
        <v>0.10751585240751205</v>
      </c>
      <c r="F150" s="80">
        <f t="shared" si="18"/>
        <v>0.10751585240751205</v>
      </c>
      <c r="G150" s="80">
        <f t="shared" si="18"/>
        <v>0.10751585240751205</v>
      </c>
      <c r="H150" s="80">
        <f t="shared" si="18"/>
        <v>0.10751585240751205</v>
      </c>
      <c r="I150" s="80">
        <f t="shared" si="18"/>
        <v>0.10751585240751205</v>
      </c>
      <c r="J150" s="74"/>
    </row>
    <row r="151" spans="1:10">
      <c r="A151" s="68">
        <v>138</v>
      </c>
      <c r="B151" s="77" t="s">
        <v>91</v>
      </c>
      <c r="C151" s="81">
        <f>'[2]CDCM Forecast Data'!C151</f>
        <v>1.2992410527694286E-3</v>
      </c>
      <c r="D151" s="81">
        <f>'[2]CDCM Forecast Data'!D151</f>
        <v>1.2992410527694286E-3</v>
      </c>
      <c r="E151" s="80">
        <f>'Smoothed Input Details'!K72</f>
        <v>1.3467452839655742E-3</v>
      </c>
      <c r="F151" s="80">
        <f t="shared" si="18"/>
        <v>1.3467452839655742E-3</v>
      </c>
      <c r="G151" s="80">
        <f t="shared" si="18"/>
        <v>1.3467452839655742E-3</v>
      </c>
      <c r="H151" s="80">
        <f t="shared" si="18"/>
        <v>1.3467452839655742E-3</v>
      </c>
      <c r="I151" s="80">
        <f t="shared" si="18"/>
        <v>1.3467452839655742E-3</v>
      </c>
      <c r="J151" s="74"/>
    </row>
    <row r="152" spans="1:10">
      <c r="A152" s="68">
        <v>139</v>
      </c>
      <c r="B152" s="77" t="s">
        <v>56</v>
      </c>
      <c r="C152" s="81">
        <f>'[2]CDCM Forecast Data'!C152</f>
        <v>6.2112549851963073E-2</v>
      </c>
      <c r="D152" s="81">
        <f>'[2]CDCM Forecast Data'!D152</f>
        <v>6.2112549851963073E-2</v>
      </c>
      <c r="E152" s="80">
        <f>'Smoothed Input Details'!K73</f>
        <v>6.26200465507879E-2</v>
      </c>
      <c r="F152" s="80">
        <f t="shared" si="18"/>
        <v>6.26200465507879E-2</v>
      </c>
      <c r="G152" s="80">
        <f t="shared" si="18"/>
        <v>6.26200465507879E-2</v>
      </c>
      <c r="H152" s="80">
        <f t="shared" si="18"/>
        <v>6.26200465507879E-2</v>
      </c>
      <c r="I152" s="80">
        <f t="shared" si="18"/>
        <v>6.26200465507879E-2</v>
      </c>
      <c r="J152" s="74"/>
    </row>
    <row r="153" spans="1:10">
      <c r="A153" s="68">
        <v>140</v>
      </c>
      <c r="B153" s="77" t="s">
        <v>57</v>
      </c>
      <c r="C153" s="81">
        <f>'[2]CDCM Forecast Data'!C153</f>
        <v>8.0028077246318788E-2</v>
      </c>
      <c r="D153" s="81">
        <f>'[2]CDCM Forecast Data'!D153</f>
        <v>8.0028077246318788E-2</v>
      </c>
      <c r="E153" s="80">
        <f>'Smoothed Input Details'!K74</f>
        <v>8.1156541207900612E-2</v>
      </c>
      <c r="F153" s="80">
        <f t="shared" si="18"/>
        <v>8.1156541207900612E-2</v>
      </c>
      <c r="G153" s="80">
        <f t="shared" si="18"/>
        <v>8.1156541207900612E-2</v>
      </c>
      <c r="H153" s="80">
        <f t="shared" si="18"/>
        <v>8.1156541207900612E-2</v>
      </c>
      <c r="I153" s="80">
        <f t="shared" si="18"/>
        <v>8.1156541207900612E-2</v>
      </c>
      <c r="J153" s="74"/>
    </row>
    <row r="154" spans="1:10">
      <c r="A154" s="68">
        <v>141</v>
      </c>
      <c r="B154" s="77" t="s">
        <v>92</v>
      </c>
      <c r="C154" s="81">
        <f>'[2]CDCM Forecast Data'!C154</f>
        <v>1.9741913755435413E-3</v>
      </c>
      <c r="D154" s="81">
        <f>'[2]CDCM Forecast Data'!D154</f>
        <v>1.9741913755435413E-3</v>
      </c>
      <c r="E154" s="80">
        <f>'Smoothed Input Details'!K75</f>
        <v>2.1108855935806684E-3</v>
      </c>
      <c r="F154" s="80">
        <f t="shared" si="18"/>
        <v>2.1108855935806684E-3</v>
      </c>
      <c r="G154" s="80">
        <f t="shared" si="18"/>
        <v>2.1108855935806684E-3</v>
      </c>
      <c r="H154" s="80">
        <f t="shared" si="18"/>
        <v>2.1108855935806684E-3</v>
      </c>
      <c r="I154" s="80">
        <f t="shared" si="18"/>
        <v>2.1108855935806684E-3</v>
      </c>
      <c r="J154" s="74"/>
    </row>
    <row r="155" spans="1:10">
      <c r="A155" s="68">
        <v>142</v>
      </c>
      <c r="B155" s="77" t="s">
        <v>58</v>
      </c>
      <c r="C155" s="81">
        <f>'[2]CDCM Forecast Data'!C155</f>
        <v>8.2494277291549581E-2</v>
      </c>
      <c r="D155" s="81">
        <f>'[2]CDCM Forecast Data'!D155</f>
        <v>8.2494277291549581E-2</v>
      </c>
      <c r="E155" s="80">
        <f>'Smoothed Input Details'!K76</f>
        <v>8.2970247934956221E-2</v>
      </c>
      <c r="F155" s="80">
        <f t="shared" si="18"/>
        <v>8.2970247934956221E-2</v>
      </c>
      <c r="G155" s="80">
        <f t="shared" si="18"/>
        <v>8.2970247934956221E-2</v>
      </c>
      <c r="H155" s="80">
        <f t="shared" si="18"/>
        <v>8.2970247934956221E-2</v>
      </c>
      <c r="I155" s="80">
        <f t="shared" si="18"/>
        <v>8.2970247934956221E-2</v>
      </c>
      <c r="J155" s="74"/>
    </row>
    <row r="156" spans="1:10">
      <c r="A156" s="68">
        <v>143</v>
      </c>
      <c r="B156" s="77" t="s">
        <v>59</v>
      </c>
      <c r="C156" s="81">
        <f>'[2]CDCM Forecast Data'!C156</f>
        <v>8.1383499769885667E-2</v>
      </c>
      <c r="D156" s="81">
        <f>'[2]CDCM Forecast Data'!D156</f>
        <v>8.1383499769885667E-2</v>
      </c>
      <c r="E156" s="80">
        <f>'Smoothed Input Details'!K77</f>
        <v>8.1888603416870973E-2</v>
      </c>
      <c r="F156" s="80">
        <f t="shared" si="18"/>
        <v>8.1888603416870973E-2</v>
      </c>
      <c r="G156" s="80">
        <f t="shared" si="18"/>
        <v>8.1888603416870973E-2</v>
      </c>
      <c r="H156" s="80">
        <f t="shared" si="18"/>
        <v>8.1888603416870973E-2</v>
      </c>
      <c r="I156" s="80">
        <f t="shared" si="18"/>
        <v>8.1888603416870973E-2</v>
      </c>
      <c r="J156" s="74"/>
    </row>
    <row r="157" spans="1:10">
      <c r="A157" s="68">
        <v>144</v>
      </c>
      <c r="B157" s="77" t="s">
        <v>72</v>
      </c>
      <c r="C157" s="81">
        <f>'[2]CDCM Forecast Data'!C157</f>
        <v>8.2917824503159918E-2</v>
      </c>
      <c r="D157" s="81">
        <f>'[2]CDCM Forecast Data'!D157</f>
        <v>8.2917824503159918E-2</v>
      </c>
      <c r="E157" s="80">
        <f>'Smoothed Input Details'!K78</f>
        <v>8.215022324053349E-2</v>
      </c>
      <c r="F157" s="80">
        <f t="shared" si="18"/>
        <v>8.215022324053349E-2</v>
      </c>
      <c r="G157" s="80">
        <f t="shared" si="18"/>
        <v>8.215022324053349E-2</v>
      </c>
      <c r="H157" s="80">
        <f t="shared" si="18"/>
        <v>8.215022324053349E-2</v>
      </c>
      <c r="I157" s="80">
        <f t="shared" si="18"/>
        <v>8.215022324053349E-2</v>
      </c>
      <c r="J157" s="74"/>
    </row>
    <row r="158" spans="1:10">
      <c r="A158" s="68">
        <v>145</v>
      </c>
      <c r="B158" s="83" t="s">
        <v>1027</v>
      </c>
      <c r="C158" s="82"/>
      <c r="D158" s="82"/>
      <c r="E158" s="82"/>
      <c r="F158" s="82"/>
      <c r="G158" s="82"/>
      <c r="H158" s="82"/>
      <c r="I158" s="82"/>
      <c r="J158" s="71"/>
    </row>
    <row r="159" spans="1:10">
      <c r="A159" s="68">
        <v>146</v>
      </c>
      <c r="B159" s="77" t="s">
        <v>54</v>
      </c>
      <c r="C159" s="81">
        <f>'[2]CDCM Forecast Data'!C159</f>
        <v>0.46207127415026478</v>
      </c>
      <c r="D159" s="81">
        <f>'[2]CDCM Forecast Data'!D159</f>
        <v>0.46207127415026478</v>
      </c>
      <c r="E159" s="80">
        <f>'Smoothed Input Details'!L70</f>
        <v>0.46239559627820986</v>
      </c>
      <c r="F159" s="80">
        <f t="shared" ref="F159:I167" si="19">E159</f>
        <v>0.46239559627820986</v>
      </c>
      <c r="G159" s="80">
        <f t="shared" si="19"/>
        <v>0.46239559627820986</v>
      </c>
      <c r="H159" s="80">
        <f t="shared" si="19"/>
        <v>0.46239559627820986</v>
      </c>
      <c r="I159" s="80">
        <f t="shared" si="19"/>
        <v>0.46239559627820986</v>
      </c>
      <c r="J159" s="74"/>
    </row>
    <row r="160" spans="1:10">
      <c r="A160" s="68">
        <v>147</v>
      </c>
      <c r="B160" s="77" t="s">
        <v>55</v>
      </c>
      <c r="C160" s="81">
        <f>'[2]CDCM Forecast Data'!C160</f>
        <v>0.53613221084305718</v>
      </c>
      <c r="D160" s="81">
        <f>'[2]CDCM Forecast Data'!D160</f>
        <v>0.53613221084305718</v>
      </c>
      <c r="E160" s="80">
        <f>'Smoothed Input Details'!L71</f>
        <v>0.53928993725192576</v>
      </c>
      <c r="F160" s="80">
        <f t="shared" si="19"/>
        <v>0.53928993725192576</v>
      </c>
      <c r="G160" s="80">
        <f t="shared" si="19"/>
        <v>0.53928993725192576</v>
      </c>
      <c r="H160" s="80">
        <f t="shared" si="19"/>
        <v>0.53928993725192576</v>
      </c>
      <c r="I160" s="80">
        <f t="shared" si="19"/>
        <v>0.53928993725192576</v>
      </c>
      <c r="J160" s="74"/>
    </row>
    <row r="161" spans="1:10">
      <c r="A161" s="68">
        <v>148</v>
      </c>
      <c r="B161" s="77" t="s">
        <v>91</v>
      </c>
      <c r="C161" s="81">
        <f>'[2]CDCM Forecast Data'!C161</f>
        <v>0.10846057686820332</v>
      </c>
      <c r="D161" s="81">
        <f>'[2]CDCM Forecast Data'!D161</f>
        <v>0.10846057686820332</v>
      </c>
      <c r="E161" s="80">
        <f>'Smoothed Input Details'!L72</f>
        <v>0.10870547020102579</v>
      </c>
      <c r="F161" s="80">
        <f t="shared" si="19"/>
        <v>0.10870547020102579</v>
      </c>
      <c r="G161" s="80">
        <f t="shared" si="19"/>
        <v>0.10870547020102579</v>
      </c>
      <c r="H161" s="80">
        <f t="shared" si="19"/>
        <v>0.10870547020102579</v>
      </c>
      <c r="I161" s="80">
        <f t="shared" si="19"/>
        <v>0.10870547020102579</v>
      </c>
      <c r="J161" s="74"/>
    </row>
    <row r="162" spans="1:10">
      <c r="A162" s="68">
        <v>149</v>
      </c>
      <c r="B162" s="77" t="s">
        <v>56</v>
      </c>
      <c r="C162" s="81">
        <f>'[2]CDCM Forecast Data'!C162</f>
        <v>0.56842688288678456</v>
      </c>
      <c r="D162" s="81">
        <f>'[2]CDCM Forecast Data'!D162</f>
        <v>0.56842688288678456</v>
      </c>
      <c r="E162" s="80">
        <f>'Smoothed Input Details'!L73</f>
        <v>0.56596294840089356</v>
      </c>
      <c r="F162" s="80">
        <f t="shared" si="19"/>
        <v>0.56596294840089356</v>
      </c>
      <c r="G162" s="80">
        <f t="shared" si="19"/>
        <v>0.56596294840089356</v>
      </c>
      <c r="H162" s="80">
        <f t="shared" si="19"/>
        <v>0.56596294840089356</v>
      </c>
      <c r="I162" s="80">
        <f t="shared" si="19"/>
        <v>0.56596294840089356</v>
      </c>
      <c r="J162" s="74"/>
    </row>
    <row r="163" spans="1:10">
      <c r="A163" s="68">
        <v>150</v>
      </c>
      <c r="B163" s="77" t="s">
        <v>57</v>
      </c>
      <c r="C163" s="81">
        <f>'[2]CDCM Forecast Data'!C163</f>
        <v>0.6316857089938811</v>
      </c>
      <c r="D163" s="81">
        <f>'[2]CDCM Forecast Data'!D163</f>
        <v>0.6316857089938811</v>
      </c>
      <c r="E163" s="80">
        <f>'Smoothed Input Details'!L74</f>
        <v>0.63066077743340532</v>
      </c>
      <c r="F163" s="80">
        <f t="shared" si="19"/>
        <v>0.63066077743340532</v>
      </c>
      <c r="G163" s="80">
        <f t="shared" si="19"/>
        <v>0.63066077743340532</v>
      </c>
      <c r="H163" s="80">
        <f t="shared" si="19"/>
        <v>0.63066077743340532</v>
      </c>
      <c r="I163" s="80">
        <f t="shared" si="19"/>
        <v>0.63066077743340532</v>
      </c>
      <c r="J163" s="74"/>
    </row>
    <row r="164" spans="1:10">
      <c r="A164" s="68">
        <v>151</v>
      </c>
      <c r="B164" s="77" t="s">
        <v>92</v>
      </c>
      <c r="C164" s="81">
        <f>'[2]CDCM Forecast Data'!C164</f>
        <v>0.11565685080296302</v>
      </c>
      <c r="D164" s="81">
        <f>'[2]CDCM Forecast Data'!D164</f>
        <v>0.11565685080296302</v>
      </c>
      <c r="E164" s="80">
        <f>'Smoothed Input Details'!L75</f>
        <v>0.11802654892647897</v>
      </c>
      <c r="F164" s="80">
        <f t="shared" si="19"/>
        <v>0.11802654892647897</v>
      </c>
      <c r="G164" s="80">
        <f t="shared" si="19"/>
        <v>0.11802654892647897</v>
      </c>
      <c r="H164" s="80">
        <f t="shared" si="19"/>
        <v>0.11802654892647897</v>
      </c>
      <c r="I164" s="80">
        <f t="shared" si="19"/>
        <v>0.11802654892647897</v>
      </c>
      <c r="J164" s="74"/>
    </row>
    <row r="165" spans="1:10">
      <c r="A165" s="68">
        <v>152</v>
      </c>
      <c r="B165" s="77" t="s">
        <v>58</v>
      </c>
      <c r="C165" s="81">
        <f>'[2]CDCM Forecast Data'!C165</f>
        <v>0.61982335390867427</v>
      </c>
      <c r="D165" s="81">
        <f>'[2]CDCM Forecast Data'!D165</f>
        <v>0.61982335390867427</v>
      </c>
      <c r="E165" s="80">
        <f>'Smoothed Input Details'!L76</f>
        <v>0.62036110080486229</v>
      </c>
      <c r="F165" s="80">
        <f t="shared" si="19"/>
        <v>0.62036110080486229</v>
      </c>
      <c r="G165" s="80">
        <f t="shared" si="19"/>
        <v>0.62036110080486229</v>
      </c>
      <c r="H165" s="80">
        <f t="shared" si="19"/>
        <v>0.62036110080486229</v>
      </c>
      <c r="I165" s="80">
        <f t="shared" si="19"/>
        <v>0.62036110080486229</v>
      </c>
      <c r="J165" s="74"/>
    </row>
    <row r="166" spans="1:10">
      <c r="A166" s="68">
        <v>153</v>
      </c>
      <c r="B166" s="77" t="s">
        <v>59</v>
      </c>
      <c r="C166" s="81">
        <f>'[2]CDCM Forecast Data'!C166</f>
        <v>0.61856610346769836</v>
      </c>
      <c r="D166" s="81">
        <f>'[2]CDCM Forecast Data'!D166</f>
        <v>0.61856610346769836</v>
      </c>
      <c r="E166" s="80">
        <f>'Smoothed Input Details'!L77</f>
        <v>0.61855839995261419</v>
      </c>
      <c r="F166" s="80">
        <f t="shared" si="19"/>
        <v>0.61855839995261419</v>
      </c>
      <c r="G166" s="80">
        <f t="shared" si="19"/>
        <v>0.61855839995261419</v>
      </c>
      <c r="H166" s="80">
        <f t="shared" si="19"/>
        <v>0.61855839995261419</v>
      </c>
      <c r="I166" s="80">
        <f t="shared" si="19"/>
        <v>0.61855839995261419</v>
      </c>
      <c r="J166" s="74"/>
    </row>
    <row r="167" spans="1:10">
      <c r="A167" s="68">
        <v>154</v>
      </c>
      <c r="B167" s="77" t="s">
        <v>72</v>
      </c>
      <c r="C167" s="81">
        <f>'[2]CDCM Forecast Data'!C167</f>
        <v>0.63320609461011934</v>
      </c>
      <c r="D167" s="81">
        <f>'[2]CDCM Forecast Data'!D167</f>
        <v>0.63320609461011934</v>
      </c>
      <c r="E167" s="80">
        <f>'Smoothed Input Details'!L78</f>
        <v>0.63955866566854391</v>
      </c>
      <c r="F167" s="80">
        <f t="shared" si="19"/>
        <v>0.63955866566854391</v>
      </c>
      <c r="G167" s="80">
        <f t="shared" si="19"/>
        <v>0.63955866566854391</v>
      </c>
      <c r="H167" s="80">
        <f t="shared" si="19"/>
        <v>0.63955866566854391</v>
      </c>
      <c r="I167" s="80">
        <f t="shared" si="19"/>
        <v>0.63955866566854391</v>
      </c>
      <c r="J167" s="74"/>
    </row>
    <row r="168" spans="1:10">
      <c r="A168" s="68">
        <v>155</v>
      </c>
      <c r="B168" s="83" t="s">
        <v>1026</v>
      </c>
      <c r="C168" s="82"/>
      <c r="D168" s="82"/>
      <c r="E168" s="82"/>
      <c r="F168" s="82"/>
      <c r="G168" s="82"/>
      <c r="H168" s="82"/>
      <c r="I168" s="82"/>
      <c r="J168" s="71"/>
    </row>
    <row r="169" spans="1:10">
      <c r="A169" s="68">
        <v>156</v>
      </c>
      <c r="B169" s="77" t="s">
        <v>54</v>
      </c>
      <c r="C169" s="81">
        <f>'[2]CDCM Forecast Data'!C169</f>
        <v>0.44930839687586016</v>
      </c>
      <c r="D169" s="81">
        <f>'[2]CDCM Forecast Data'!D169</f>
        <v>0.44930839687586016</v>
      </c>
      <c r="E169" s="80">
        <f>'Smoothed Input Details'!M70</f>
        <v>0.44886420340869609</v>
      </c>
      <c r="F169" s="80">
        <f t="shared" ref="F169:I177" si="20">E169</f>
        <v>0.44886420340869609</v>
      </c>
      <c r="G169" s="80">
        <f t="shared" si="20"/>
        <v>0.44886420340869609</v>
      </c>
      <c r="H169" s="80">
        <f t="shared" si="20"/>
        <v>0.44886420340869609</v>
      </c>
      <c r="I169" s="80">
        <f t="shared" si="20"/>
        <v>0.44886420340869609</v>
      </c>
      <c r="J169" s="74"/>
    </row>
    <row r="170" spans="1:10">
      <c r="A170" s="68">
        <v>157</v>
      </c>
      <c r="B170" s="77" t="s">
        <v>55</v>
      </c>
      <c r="C170" s="81">
        <f>'[2]CDCM Forecast Data'!C170</f>
        <v>0.35709980300277117</v>
      </c>
      <c r="D170" s="81">
        <f>'[2]CDCM Forecast Data'!D170</f>
        <v>0.35709980300277117</v>
      </c>
      <c r="E170" s="80">
        <f>'Smoothed Input Details'!M71</f>
        <v>0.35319421034056231</v>
      </c>
      <c r="F170" s="80">
        <f t="shared" si="20"/>
        <v>0.35319421034056231</v>
      </c>
      <c r="G170" s="80">
        <f t="shared" si="20"/>
        <v>0.35319421034056231</v>
      </c>
      <c r="H170" s="80">
        <f t="shared" si="20"/>
        <v>0.35319421034056231</v>
      </c>
      <c r="I170" s="80">
        <f t="shared" si="20"/>
        <v>0.35319421034056231</v>
      </c>
      <c r="J170" s="74"/>
    </row>
    <row r="171" spans="1:10">
      <c r="A171" s="68">
        <v>158</v>
      </c>
      <c r="B171" s="77" t="s">
        <v>91</v>
      </c>
      <c r="C171" s="81">
        <f>'[2]CDCM Forecast Data'!C171</f>
        <v>0.89024018207902722</v>
      </c>
      <c r="D171" s="81">
        <f>'[2]CDCM Forecast Data'!D171</f>
        <v>0.89024018207902722</v>
      </c>
      <c r="E171" s="80">
        <f>'Smoothed Input Details'!M72</f>
        <v>0.88994778451500867</v>
      </c>
      <c r="F171" s="80">
        <f t="shared" si="20"/>
        <v>0.88994778451500867</v>
      </c>
      <c r="G171" s="80">
        <f t="shared" si="20"/>
        <v>0.88994778451500867</v>
      </c>
      <c r="H171" s="80">
        <f t="shared" si="20"/>
        <v>0.88994778451500867</v>
      </c>
      <c r="I171" s="80">
        <f t="shared" si="20"/>
        <v>0.88994778451500867</v>
      </c>
      <c r="J171" s="74"/>
    </row>
    <row r="172" spans="1:10">
      <c r="A172" s="68">
        <v>159</v>
      </c>
      <c r="B172" s="77" t="s">
        <v>56</v>
      </c>
      <c r="C172" s="81">
        <f>'[2]CDCM Forecast Data'!C172</f>
        <v>0.36946056726125237</v>
      </c>
      <c r="D172" s="81">
        <f>'[2]CDCM Forecast Data'!D172</f>
        <v>0.36946056726125237</v>
      </c>
      <c r="E172" s="80">
        <f>'Smoothed Input Details'!M73</f>
        <v>0.37141700504831854</v>
      </c>
      <c r="F172" s="80">
        <f t="shared" si="20"/>
        <v>0.37141700504831854</v>
      </c>
      <c r="G172" s="80">
        <f t="shared" si="20"/>
        <v>0.37141700504831854</v>
      </c>
      <c r="H172" s="80">
        <f t="shared" si="20"/>
        <v>0.37141700504831854</v>
      </c>
      <c r="I172" s="80">
        <f t="shared" si="20"/>
        <v>0.37141700504831854</v>
      </c>
      <c r="J172" s="74"/>
    </row>
    <row r="173" spans="1:10">
      <c r="A173" s="68">
        <v>160</v>
      </c>
      <c r="B173" s="77" t="s">
        <v>57</v>
      </c>
      <c r="C173" s="81">
        <f>'[2]CDCM Forecast Data'!C173</f>
        <v>0.28828621375980007</v>
      </c>
      <c r="D173" s="81">
        <f>'[2]CDCM Forecast Data'!D173</f>
        <v>0.28828621375980007</v>
      </c>
      <c r="E173" s="80">
        <f>'Smoothed Input Details'!M74</f>
        <v>0.28818268135869413</v>
      </c>
      <c r="F173" s="80">
        <f t="shared" si="20"/>
        <v>0.28818268135869413</v>
      </c>
      <c r="G173" s="80">
        <f t="shared" si="20"/>
        <v>0.28818268135869413</v>
      </c>
      <c r="H173" s="80">
        <f t="shared" si="20"/>
        <v>0.28818268135869413</v>
      </c>
      <c r="I173" s="80">
        <f t="shared" si="20"/>
        <v>0.28818268135869413</v>
      </c>
      <c r="J173" s="74"/>
    </row>
    <row r="174" spans="1:10">
      <c r="A174" s="68">
        <v>161</v>
      </c>
      <c r="B174" s="77" t="s">
        <v>92</v>
      </c>
      <c r="C174" s="81">
        <f>'[2]CDCM Forecast Data'!C174</f>
        <v>0.88236895782149338</v>
      </c>
      <c r="D174" s="81">
        <f>'[2]CDCM Forecast Data'!D174</f>
        <v>0.88236895782149338</v>
      </c>
      <c r="E174" s="80">
        <f>'Smoothed Input Details'!M75</f>
        <v>0.87986256547994035</v>
      </c>
      <c r="F174" s="80">
        <f t="shared" si="20"/>
        <v>0.87986256547994035</v>
      </c>
      <c r="G174" s="80">
        <f t="shared" si="20"/>
        <v>0.87986256547994035</v>
      </c>
      <c r="H174" s="80">
        <f t="shared" si="20"/>
        <v>0.87986256547994035</v>
      </c>
      <c r="I174" s="80">
        <f t="shared" si="20"/>
        <v>0.87986256547994035</v>
      </c>
      <c r="J174" s="74"/>
    </row>
    <row r="175" spans="1:10">
      <c r="A175" s="68">
        <v>162</v>
      </c>
      <c r="B175" s="77" t="s">
        <v>58</v>
      </c>
      <c r="C175" s="81">
        <f>'[2]CDCM Forecast Data'!C175</f>
        <v>0.29768236879977605</v>
      </c>
      <c r="D175" s="81">
        <f>'[2]CDCM Forecast Data'!D175</f>
        <v>0.29768236879977605</v>
      </c>
      <c r="E175" s="80">
        <f>'Smoothed Input Details'!M76</f>
        <v>0.29666865126018144</v>
      </c>
      <c r="F175" s="80">
        <f t="shared" si="20"/>
        <v>0.29666865126018144</v>
      </c>
      <c r="G175" s="80">
        <f t="shared" si="20"/>
        <v>0.29666865126018144</v>
      </c>
      <c r="H175" s="80">
        <f t="shared" si="20"/>
        <v>0.29666865126018144</v>
      </c>
      <c r="I175" s="80">
        <f t="shared" si="20"/>
        <v>0.29666865126018144</v>
      </c>
      <c r="J175" s="74"/>
    </row>
    <row r="176" spans="1:10">
      <c r="A176" s="68">
        <v>163</v>
      </c>
      <c r="B176" s="77" t="s">
        <v>59</v>
      </c>
      <c r="C176" s="81">
        <f>'[2]CDCM Forecast Data'!C176</f>
        <v>0.30005039676241602</v>
      </c>
      <c r="D176" s="81">
        <f>'[2]CDCM Forecast Data'!D176</f>
        <v>0.30005039676241602</v>
      </c>
      <c r="E176" s="80">
        <f>'Smoothed Input Details'!M77</f>
        <v>0.29955299663051482</v>
      </c>
      <c r="F176" s="80">
        <f t="shared" si="20"/>
        <v>0.29955299663051482</v>
      </c>
      <c r="G176" s="80">
        <f t="shared" si="20"/>
        <v>0.29955299663051482</v>
      </c>
      <c r="H176" s="80">
        <f t="shared" si="20"/>
        <v>0.29955299663051482</v>
      </c>
      <c r="I176" s="80">
        <f t="shared" si="20"/>
        <v>0.29955299663051482</v>
      </c>
      <c r="J176" s="74"/>
    </row>
    <row r="177" spans="1:10">
      <c r="A177" s="68">
        <v>164</v>
      </c>
      <c r="B177" s="77" t="s">
        <v>72</v>
      </c>
      <c r="C177" s="81">
        <f>'[2]CDCM Forecast Data'!C177</f>
        <v>0.28387608088672073</v>
      </c>
      <c r="D177" s="81">
        <f>'[2]CDCM Forecast Data'!D177</f>
        <v>0.28387608088672073</v>
      </c>
      <c r="E177" s="80">
        <f>'Smoothed Input Details'!M78</f>
        <v>0.27829111109092258</v>
      </c>
      <c r="F177" s="80">
        <f t="shared" si="20"/>
        <v>0.27829111109092258</v>
      </c>
      <c r="G177" s="80">
        <f t="shared" si="20"/>
        <v>0.27829111109092258</v>
      </c>
      <c r="H177" s="80">
        <f t="shared" si="20"/>
        <v>0.27829111109092258</v>
      </c>
      <c r="I177" s="80">
        <f t="shared" si="20"/>
        <v>0.27829111109092258</v>
      </c>
      <c r="J177" s="74"/>
    </row>
    <row r="178" spans="1:10">
      <c r="A178" s="68">
        <v>165</v>
      </c>
      <c r="B178" s="73" t="s">
        <v>1032</v>
      </c>
      <c r="C178" s="72"/>
      <c r="D178" s="72"/>
      <c r="E178" s="72"/>
      <c r="F178" s="72"/>
      <c r="G178" s="72"/>
      <c r="H178" s="72"/>
      <c r="I178" s="72"/>
      <c r="J178" s="71"/>
    </row>
    <row r="179" spans="1:10">
      <c r="A179" s="68">
        <v>166</v>
      </c>
      <c r="B179" s="83" t="s">
        <v>1028</v>
      </c>
      <c r="C179" s="72"/>
      <c r="D179" s="72"/>
      <c r="E179" s="72"/>
      <c r="F179" s="72"/>
      <c r="G179" s="72"/>
      <c r="H179" s="72"/>
      <c r="I179" s="72"/>
      <c r="J179" s="71"/>
    </row>
    <row r="180" spans="1:10">
      <c r="A180" s="68">
        <v>167</v>
      </c>
      <c r="B180" s="77" t="s">
        <v>55</v>
      </c>
      <c r="C180" s="84">
        <f>'[2]CDCM Forecast Data'!C180</f>
        <v>0</v>
      </c>
      <c r="D180" s="84">
        <f>'[2]CDCM Forecast Data'!D180</f>
        <v>0</v>
      </c>
      <c r="E180" s="80">
        <f>'Smoothed Input Details'!K88</f>
        <v>0</v>
      </c>
      <c r="F180" s="80">
        <f t="shared" ref="F180:I184" si="21">E180</f>
        <v>0</v>
      </c>
      <c r="G180" s="80">
        <f t="shared" si="21"/>
        <v>0</v>
      </c>
      <c r="H180" s="80">
        <f t="shared" si="21"/>
        <v>0</v>
      </c>
      <c r="I180" s="80">
        <f t="shared" si="21"/>
        <v>0</v>
      </c>
      <c r="J180" s="74"/>
    </row>
    <row r="181" spans="1:10">
      <c r="A181" s="68">
        <v>168</v>
      </c>
      <c r="B181" s="77" t="s">
        <v>57</v>
      </c>
      <c r="C181" s="84">
        <f>'[2]CDCM Forecast Data'!C181</f>
        <v>0</v>
      </c>
      <c r="D181" s="84">
        <f>'[2]CDCM Forecast Data'!D181</f>
        <v>0</v>
      </c>
      <c r="E181" s="80">
        <f>'Smoothed Input Details'!K89</f>
        <v>0</v>
      </c>
      <c r="F181" s="80">
        <f t="shared" si="21"/>
        <v>0</v>
      </c>
      <c r="G181" s="80">
        <f t="shared" si="21"/>
        <v>0</v>
      </c>
      <c r="H181" s="80">
        <f t="shared" si="21"/>
        <v>0</v>
      </c>
      <c r="I181" s="80">
        <f t="shared" si="21"/>
        <v>0</v>
      </c>
      <c r="J181" s="74"/>
    </row>
    <row r="182" spans="1:10">
      <c r="A182" s="68">
        <v>169</v>
      </c>
      <c r="B182" s="77" t="s">
        <v>58</v>
      </c>
      <c r="C182" s="84">
        <f>'[2]CDCM Forecast Data'!C182</f>
        <v>0</v>
      </c>
      <c r="D182" s="84">
        <f>'[2]CDCM Forecast Data'!D182</f>
        <v>0</v>
      </c>
      <c r="E182" s="80">
        <f>'Smoothed Input Details'!K90</f>
        <v>0</v>
      </c>
      <c r="F182" s="80">
        <f t="shared" si="21"/>
        <v>0</v>
      </c>
      <c r="G182" s="80">
        <f t="shared" si="21"/>
        <v>0</v>
      </c>
      <c r="H182" s="80">
        <f t="shared" si="21"/>
        <v>0</v>
      </c>
      <c r="I182" s="80">
        <f t="shared" si="21"/>
        <v>0</v>
      </c>
      <c r="J182" s="74"/>
    </row>
    <row r="183" spans="1:10">
      <c r="A183" s="68">
        <v>170</v>
      </c>
      <c r="B183" s="77" t="s">
        <v>59</v>
      </c>
      <c r="C183" s="84">
        <f>'[2]CDCM Forecast Data'!C183</f>
        <v>0</v>
      </c>
      <c r="D183" s="84">
        <f>'[2]CDCM Forecast Data'!D183</f>
        <v>0</v>
      </c>
      <c r="E183" s="80">
        <f>'Smoothed Input Details'!K91</f>
        <v>0</v>
      </c>
      <c r="F183" s="80">
        <f t="shared" si="21"/>
        <v>0</v>
      </c>
      <c r="G183" s="80">
        <f t="shared" si="21"/>
        <v>0</v>
      </c>
      <c r="H183" s="80">
        <f t="shared" si="21"/>
        <v>0</v>
      </c>
      <c r="I183" s="80">
        <f t="shared" si="21"/>
        <v>0</v>
      </c>
      <c r="J183" s="74"/>
    </row>
    <row r="184" spans="1:10">
      <c r="A184" s="68">
        <v>171</v>
      </c>
      <c r="B184" s="77" t="s">
        <v>72</v>
      </c>
      <c r="C184" s="84">
        <f>'[2]CDCM Forecast Data'!C184</f>
        <v>0</v>
      </c>
      <c r="D184" s="84">
        <f>'[2]CDCM Forecast Data'!D184</f>
        <v>0</v>
      </c>
      <c r="E184" s="80">
        <f>'Smoothed Input Details'!K92</f>
        <v>0</v>
      </c>
      <c r="F184" s="80">
        <f t="shared" si="21"/>
        <v>0</v>
      </c>
      <c r="G184" s="80">
        <f t="shared" si="21"/>
        <v>0</v>
      </c>
      <c r="H184" s="80">
        <f t="shared" si="21"/>
        <v>0</v>
      </c>
      <c r="I184" s="80">
        <f t="shared" si="21"/>
        <v>0</v>
      </c>
      <c r="J184" s="74"/>
    </row>
    <row r="185" spans="1:10">
      <c r="A185" s="68">
        <v>172</v>
      </c>
      <c r="B185" s="83" t="s">
        <v>1027</v>
      </c>
      <c r="C185" s="85"/>
      <c r="D185" s="85"/>
      <c r="E185" s="72"/>
      <c r="F185" s="72"/>
      <c r="G185" s="72"/>
      <c r="H185" s="72"/>
      <c r="I185" s="72"/>
      <c r="J185" s="71"/>
    </row>
    <row r="186" spans="1:10">
      <c r="A186" s="68">
        <v>173</v>
      </c>
      <c r="B186" s="77" t="s">
        <v>55</v>
      </c>
      <c r="C186" s="84">
        <f>'[2]CDCM Forecast Data'!C186</f>
        <v>2.0250477096150382E-2</v>
      </c>
      <c r="D186" s="84">
        <f>'[2]CDCM Forecast Data'!D186</f>
        <v>2.0250477096150382E-2</v>
      </c>
      <c r="E186" s="80">
        <f>'Smoothed Input Details'!L88</f>
        <v>2.0980929821621391E-2</v>
      </c>
      <c r="F186" s="80">
        <f t="shared" ref="F186:I190" si="22">E186</f>
        <v>2.0980929821621391E-2</v>
      </c>
      <c r="G186" s="80">
        <f t="shared" si="22"/>
        <v>2.0980929821621391E-2</v>
      </c>
      <c r="H186" s="80">
        <f t="shared" si="22"/>
        <v>2.0980929821621391E-2</v>
      </c>
      <c r="I186" s="80">
        <f t="shared" si="22"/>
        <v>2.0980929821621391E-2</v>
      </c>
      <c r="J186" s="74"/>
    </row>
    <row r="187" spans="1:10">
      <c r="A187" s="68">
        <v>174</v>
      </c>
      <c r="B187" s="77" t="s">
        <v>57</v>
      </c>
      <c r="C187" s="84">
        <f>'[2]CDCM Forecast Data'!C187</f>
        <v>2.4667120918493463E-2</v>
      </c>
      <c r="D187" s="84">
        <f>'[2]CDCM Forecast Data'!D187</f>
        <v>2.4667120918493463E-2</v>
      </c>
      <c r="E187" s="80">
        <f>'Smoothed Input Details'!L89</f>
        <v>2.6444594802158033E-2</v>
      </c>
      <c r="F187" s="80">
        <f t="shared" si="22"/>
        <v>2.6444594802158033E-2</v>
      </c>
      <c r="G187" s="80">
        <f t="shared" si="22"/>
        <v>2.6444594802158033E-2</v>
      </c>
      <c r="H187" s="80">
        <f t="shared" si="22"/>
        <v>2.6444594802158033E-2</v>
      </c>
      <c r="I187" s="80">
        <f t="shared" si="22"/>
        <v>2.6444594802158033E-2</v>
      </c>
      <c r="J187" s="74"/>
    </row>
    <row r="188" spans="1:10">
      <c r="A188" s="68">
        <v>175</v>
      </c>
      <c r="B188" s="77" t="s">
        <v>58</v>
      </c>
      <c r="C188" s="84">
        <f>'[2]CDCM Forecast Data'!C188</f>
        <v>0</v>
      </c>
      <c r="D188" s="84">
        <f>'[2]CDCM Forecast Data'!D188</f>
        <v>0</v>
      </c>
      <c r="E188" s="80">
        <f>'Smoothed Input Details'!L90</f>
        <v>0</v>
      </c>
      <c r="F188" s="80">
        <f t="shared" si="22"/>
        <v>0</v>
      </c>
      <c r="G188" s="80">
        <f t="shared" si="22"/>
        <v>0</v>
      </c>
      <c r="H188" s="80">
        <f t="shared" si="22"/>
        <v>0</v>
      </c>
      <c r="I188" s="80">
        <f t="shared" si="22"/>
        <v>0</v>
      </c>
      <c r="J188" s="74"/>
    </row>
    <row r="189" spans="1:10">
      <c r="A189" s="68">
        <v>176</v>
      </c>
      <c r="B189" s="77" t="s">
        <v>59</v>
      </c>
      <c r="C189" s="84">
        <f>'[2]CDCM Forecast Data'!C189</f>
        <v>0</v>
      </c>
      <c r="D189" s="84">
        <f>'[2]CDCM Forecast Data'!D189</f>
        <v>0</v>
      </c>
      <c r="E189" s="80">
        <f>'Smoothed Input Details'!L91</f>
        <v>0</v>
      </c>
      <c r="F189" s="80">
        <f t="shared" si="22"/>
        <v>0</v>
      </c>
      <c r="G189" s="80">
        <f t="shared" si="22"/>
        <v>0</v>
      </c>
      <c r="H189" s="80">
        <f t="shared" si="22"/>
        <v>0</v>
      </c>
      <c r="I189" s="80">
        <f t="shared" si="22"/>
        <v>0</v>
      </c>
      <c r="J189" s="74"/>
    </row>
    <row r="190" spans="1:10">
      <c r="A190" s="68">
        <v>177</v>
      </c>
      <c r="B190" s="77" t="s">
        <v>72</v>
      </c>
      <c r="C190" s="84">
        <f>'[2]CDCM Forecast Data'!C190</f>
        <v>0</v>
      </c>
      <c r="D190" s="84">
        <f>'[2]CDCM Forecast Data'!D190</f>
        <v>0</v>
      </c>
      <c r="E190" s="80">
        <f>'Smoothed Input Details'!L92</f>
        <v>0</v>
      </c>
      <c r="F190" s="80">
        <f t="shared" si="22"/>
        <v>0</v>
      </c>
      <c r="G190" s="80">
        <f t="shared" si="22"/>
        <v>0</v>
      </c>
      <c r="H190" s="80">
        <f t="shared" si="22"/>
        <v>0</v>
      </c>
      <c r="I190" s="80">
        <f t="shared" si="22"/>
        <v>0</v>
      </c>
      <c r="J190" s="74"/>
    </row>
    <row r="191" spans="1:10">
      <c r="A191" s="68">
        <v>178</v>
      </c>
      <c r="B191" s="83" t="s">
        <v>1026</v>
      </c>
      <c r="C191" s="72"/>
      <c r="D191" s="72"/>
      <c r="E191" s="72"/>
      <c r="F191" s="72"/>
      <c r="G191" s="72"/>
      <c r="H191" s="72"/>
      <c r="I191" s="72"/>
      <c r="J191" s="71"/>
    </row>
    <row r="192" spans="1:10">
      <c r="A192" s="68">
        <v>179</v>
      </c>
      <c r="B192" s="77" t="s">
        <v>55</v>
      </c>
      <c r="C192" s="81">
        <f>'[2]CDCM Forecast Data'!C192</f>
        <v>0.97974952290384953</v>
      </c>
      <c r="D192" s="81">
        <f>'[2]CDCM Forecast Data'!D192</f>
        <v>0.97974952290384953</v>
      </c>
      <c r="E192" s="80">
        <f>'Smoothed Input Details'!M88</f>
        <v>0.97901907017837864</v>
      </c>
      <c r="F192" s="80">
        <f t="shared" ref="F192:I196" si="23">E192</f>
        <v>0.97901907017837864</v>
      </c>
      <c r="G192" s="80">
        <f t="shared" si="23"/>
        <v>0.97901907017837864</v>
      </c>
      <c r="H192" s="80">
        <f t="shared" si="23"/>
        <v>0.97901907017837864</v>
      </c>
      <c r="I192" s="80">
        <f t="shared" si="23"/>
        <v>0.97901907017837864</v>
      </c>
      <c r="J192" s="74"/>
    </row>
    <row r="193" spans="1:10">
      <c r="A193" s="68">
        <v>180</v>
      </c>
      <c r="B193" s="77" t="s">
        <v>57</v>
      </c>
      <c r="C193" s="81">
        <f>'[2]CDCM Forecast Data'!C193</f>
        <v>0.97533287908150657</v>
      </c>
      <c r="D193" s="81">
        <f>'[2]CDCM Forecast Data'!D193</f>
        <v>0.97533287908150657</v>
      </c>
      <c r="E193" s="80">
        <f>'Smoothed Input Details'!M89</f>
        <v>0.97355540519784201</v>
      </c>
      <c r="F193" s="80">
        <f t="shared" si="23"/>
        <v>0.97355540519784201</v>
      </c>
      <c r="G193" s="80">
        <f t="shared" si="23"/>
        <v>0.97355540519784201</v>
      </c>
      <c r="H193" s="80">
        <f t="shared" si="23"/>
        <v>0.97355540519784201</v>
      </c>
      <c r="I193" s="80">
        <f t="shared" si="23"/>
        <v>0.97355540519784201</v>
      </c>
      <c r="J193" s="74"/>
    </row>
    <row r="194" spans="1:10">
      <c r="A194" s="68">
        <v>181</v>
      </c>
      <c r="B194" s="77" t="s">
        <v>58</v>
      </c>
      <c r="C194" s="81">
        <f>'[2]CDCM Forecast Data'!C194</f>
        <v>1</v>
      </c>
      <c r="D194" s="81">
        <f>'[2]CDCM Forecast Data'!D194</f>
        <v>1</v>
      </c>
      <c r="E194" s="80">
        <f>'Smoothed Input Details'!M90</f>
        <v>1</v>
      </c>
      <c r="F194" s="80">
        <f t="shared" si="23"/>
        <v>1</v>
      </c>
      <c r="G194" s="80">
        <f t="shared" si="23"/>
        <v>1</v>
      </c>
      <c r="H194" s="80">
        <f t="shared" si="23"/>
        <v>1</v>
      </c>
      <c r="I194" s="80">
        <f t="shared" si="23"/>
        <v>1</v>
      </c>
      <c r="J194" s="74"/>
    </row>
    <row r="195" spans="1:10">
      <c r="A195" s="68">
        <v>182</v>
      </c>
      <c r="B195" s="77" t="s">
        <v>59</v>
      </c>
      <c r="C195" s="81">
        <f>'[2]CDCM Forecast Data'!C195</f>
        <v>1</v>
      </c>
      <c r="D195" s="81">
        <f>'[2]CDCM Forecast Data'!D195</f>
        <v>1</v>
      </c>
      <c r="E195" s="80">
        <f>'Smoothed Input Details'!M91</f>
        <v>1</v>
      </c>
      <c r="F195" s="80">
        <f t="shared" si="23"/>
        <v>1</v>
      </c>
      <c r="G195" s="80">
        <f t="shared" si="23"/>
        <v>1</v>
      </c>
      <c r="H195" s="80">
        <f t="shared" si="23"/>
        <v>1</v>
      </c>
      <c r="I195" s="80">
        <f t="shared" si="23"/>
        <v>1</v>
      </c>
      <c r="J195" s="74"/>
    </row>
    <row r="196" spans="1:10">
      <c r="A196" s="68">
        <v>183</v>
      </c>
      <c r="B196" s="77" t="s">
        <v>72</v>
      </c>
      <c r="C196" s="81">
        <f>'[2]CDCM Forecast Data'!C196</f>
        <v>1</v>
      </c>
      <c r="D196" s="81">
        <f>'[2]CDCM Forecast Data'!D196</f>
        <v>1</v>
      </c>
      <c r="E196" s="80">
        <f>'Smoothed Input Details'!M92</f>
        <v>1</v>
      </c>
      <c r="F196" s="80">
        <f t="shared" si="23"/>
        <v>1</v>
      </c>
      <c r="G196" s="80">
        <f t="shared" si="23"/>
        <v>1</v>
      </c>
      <c r="H196" s="80">
        <f t="shared" si="23"/>
        <v>1</v>
      </c>
      <c r="I196" s="80">
        <f t="shared" si="23"/>
        <v>1</v>
      </c>
      <c r="J196" s="74"/>
    </row>
    <row r="197" spans="1:10">
      <c r="A197" s="68">
        <v>184</v>
      </c>
      <c r="B197" s="73" t="s">
        <v>199</v>
      </c>
      <c r="C197" s="72"/>
      <c r="D197" s="72"/>
      <c r="E197" s="72"/>
      <c r="F197" s="72"/>
      <c r="G197" s="72"/>
      <c r="H197" s="72"/>
      <c r="I197" s="72"/>
      <c r="J197" s="71"/>
    </row>
    <row r="198" spans="1:10">
      <c r="A198" s="68">
        <v>185</v>
      </c>
      <c r="B198" s="83" t="s">
        <v>1025</v>
      </c>
      <c r="C198" s="72"/>
      <c r="D198" s="72"/>
      <c r="E198" s="72"/>
      <c r="F198" s="72"/>
      <c r="G198" s="72"/>
      <c r="H198" s="72"/>
      <c r="I198" s="72"/>
      <c r="J198" s="71"/>
    </row>
    <row r="199" spans="1:10">
      <c r="A199" s="68">
        <v>186</v>
      </c>
      <c r="B199" s="77" t="s">
        <v>93</v>
      </c>
      <c r="C199" s="81">
        <f>'[2]CDCM Forecast Data'!C199</f>
        <v>1.7503805175038051E-2</v>
      </c>
      <c r="D199" s="81">
        <f>'[2]CDCM Forecast Data'!D199</f>
        <v>1.7503805175038051E-2</v>
      </c>
      <c r="E199" s="81">
        <f>'Smoothed Input Details'!K102</f>
        <v>1.7335795260789644E-2</v>
      </c>
      <c r="F199" s="81">
        <f t="shared" ref="F199:I202" si="24">E199</f>
        <v>1.7335795260789644E-2</v>
      </c>
      <c r="G199" s="81">
        <f t="shared" si="24"/>
        <v>1.7335795260789644E-2</v>
      </c>
      <c r="H199" s="81">
        <f t="shared" si="24"/>
        <v>1.7335795260789644E-2</v>
      </c>
      <c r="I199" s="81">
        <f t="shared" si="24"/>
        <v>1.7335795260789644E-2</v>
      </c>
      <c r="J199" s="74"/>
    </row>
    <row r="200" spans="1:10">
      <c r="A200" s="68">
        <v>187</v>
      </c>
      <c r="B200" s="77" t="s">
        <v>94</v>
      </c>
      <c r="C200" s="81">
        <f>'[2]CDCM Forecast Data'!C200</f>
        <v>3.3217112725756566E-2</v>
      </c>
      <c r="D200" s="81">
        <f>'[2]CDCM Forecast Data'!D200</f>
        <v>3.3217112725756566E-2</v>
      </c>
      <c r="E200" s="81">
        <f>'Smoothed Input Details'!K103</f>
        <v>3.2847302717098244E-2</v>
      </c>
      <c r="F200" s="81">
        <f t="shared" si="24"/>
        <v>3.2847302717098244E-2</v>
      </c>
      <c r="G200" s="81">
        <f t="shared" si="24"/>
        <v>3.2847302717098244E-2</v>
      </c>
      <c r="H200" s="81">
        <f t="shared" si="24"/>
        <v>3.2847302717098244E-2</v>
      </c>
      <c r="I200" s="81">
        <f t="shared" si="24"/>
        <v>3.2847302717098244E-2</v>
      </c>
      <c r="J200" s="74"/>
    </row>
    <row r="201" spans="1:10">
      <c r="A201" s="68">
        <v>188</v>
      </c>
      <c r="B201" s="77" t="s">
        <v>95</v>
      </c>
      <c r="C201" s="81">
        <f>'[2]CDCM Forecast Data'!C201</f>
        <v>6.0323464427330969E-2</v>
      </c>
      <c r="D201" s="81">
        <f>'[2]CDCM Forecast Data'!D201</f>
        <v>6.0323464427330969E-2</v>
      </c>
      <c r="E201" s="81">
        <f>'Smoothed Input Details'!K104</f>
        <v>5.9273595790326206E-2</v>
      </c>
      <c r="F201" s="81">
        <f t="shared" si="24"/>
        <v>5.9273595790326206E-2</v>
      </c>
      <c r="G201" s="81">
        <f t="shared" si="24"/>
        <v>5.9273595790326206E-2</v>
      </c>
      <c r="H201" s="81">
        <f t="shared" si="24"/>
        <v>5.9273595790326206E-2</v>
      </c>
      <c r="I201" s="81">
        <f t="shared" si="24"/>
        <v>5.9273595790326206E-2</v>
      </c>
      <c r="J201" s="74"/>
    </row>
    <row r="202" spans="1:10">
      <c r="A202" s="68">
        <v>189</v>
      </c>
      <c r="B202" s="77" t="s">
        <v>96</v>
      </c>
      <c r="C202" s="81">
        <f>'[2]CDCM Forecast Data'!C202</f>
        <v>2.4631526231338285E-3</v>
      </c>
      <c r="D202" s="81">
        <f>'[2]CDCM Forecast Data'!D202</f>
        <v>2.4631526231338285E-3</v>
      </c>
      <c r="E202" s="81">
        <f>'Smoothed Input Details'!K105</f>
        <v>2.4492897224272499E-3</v>
      </c>
      <c r="F202" s="81">
        <f t="shared" si="24"/>
        <v>2.4492897224272499E-3</v>
      </c>
      <c r="G202" s="81">
        <f t="shared" si="24"/>
        <v>2.4492897224272499E-3</v>
      </c>
      <c r="H202" s="81">
        <f t="shared" si="24"/>
        <v>2.4492897224272499E-3</v>
      </c>
      <c r="I202" s="81">
        <f t="shared" si="24"/>
        <v>2.4492897224272499E-3</v>
      </c>
      <c r="J202" s="74"/>
    </row>
    <row r="203" spans="1:10">
      <c r="A203" s="68">
        <v>190</v>
      </c>
      <c r="B203" s="83" t="s">
        <v>1031</v>
      </c>
      <c r="C203" s="82"/>
      <c r="D203" s="82"/>
      <c r="E203" s="82"/>
      <c r="F203" s="82"/>
      <c r="G203" s="82"/>
      <c r="H203" s="82"/>
      <c r="I203" s="82"/>
      <c r="J203" s="71"/>
    </row>
    <row r="204" spans="1:10">
      <c r="A204" s="68">
        <v>191</v>
      </c>
      <c r="B204" s="77" t="s">
        <v>93</v>
      </c>
      <c r="C204" s="81">
        <f>'[2]CDCM Forecast Data'!C204</f>
        <v>0.43481735159817347</v>
      </c>
      <c r="D204" s="81">
        <f>'[2]CDCM Forecast Data'!D204</f>
        <v>0.43481735159817347</v>
      </c>
      <c r="E204" s="81">
        <f>'Smoothed Input Details'!L102</f>
        <v>0.4355228684781795</v>
      </c>
      <c r="F204" s="81">
        <f t="shared" ref="F204:I207" si="25">E204</f>
        <v>0.4355228684781795</v>
      </c>
      <c r="G204" s="81">
        <f t="shared" si="25"/>
        <v>0.4355228684781795</v>
      </c>
      <c r="H204" s="81">
        <f t="shared" si="25"/>
        <v>0.4355228684781795</v>
      </c>
      <c r="I204" s="81">
        <f t="shared" si="25"/>
        <v>0.4355228684781795</v>
      </c>
      <c r="J204" s="74"/>
    </row>
    <row r="205" spans="1:10">
      <c r="A205" s="68">
        <v>192</v>
      </c>
      <c r="B205" s="77" t="s">
        <v>94</v>
      </c>
      <c r="C205" s="81">
        <f>'[2]CDCM Forecast Data'!C205</f>
        <v>0.15156647019164513</v>
      </c>
      <c r="D205" s="81">
        <f>'[2]CDCM Forecast Data'!D205</f>
        <v>0.15156647019164513</v>
      </c>
      <c r="E205" s="81">
        <f>'Smoothed Input Details'!L103</f>
        <v>0.1517630105786926</v>
      </c>
      <c r="F205" s="81">
        <f t="shared" si="25"/>
        <v>0.1517630105786926</v>
      </c>
      <c r="G205" s="81">
        <f t="shared" si="25"/>
        <v>0.1517630105786926</v>
      </c>
      <c r="H205" s="81">
        <f t="shared" si="25"/>
        <v>0.1517630105786926</v>
      </c>
      <c r="I205" s="81">
        <f t="shared" si="25"/>
        <v>0.1517630105786926</v>
      </c>
      <c r="J205" s="74"/>
    </row>
    <row r="206" spans="1:10">
      <c r="A206" s="68">
        <v>193</v>
      </c>
      <c r="B206" s="77" t="s">
        <v>95</v>
      </c>
      <c r="C206" s="81">
        <f>'[2]CDCM Forecast Data'!C206</f>
        <v>0.24879592942288786</v>
      </c>
      <c r="D206" s="81">
        <f>'[2]CDCM Forecast Data'!D206</f>
        <v>0.24879592942288786</v>
      </c>
      <c r="E206" s="81">
        <f>'Smoothed Input Details'!L104</f>
        <v>0.24811484564374295</v>
      </c>
      <c r="F206" s="81">
        <f t="shared" si="25"/>
        <v>0.24811484564374295</v>
      </c>
      <c r="G206" s="81">
        <f t="shared" si="25"/>
        <v>0.24811484564374295</v>
      </c>
      <c r="H206" s="81">
        <f t="shared" si="25"/>
        <v>0.24811484564374295</v>
      </c>
      <c r="I206" s="81">
        <f t="shared" si="25"/>
        <v>0.24811484564374295</v>
      </c>
      <c r="J206" s="74"/>
    </row>
    <row r="207" spans="1:10">
      <c r="A207" s="68">
        <v>194</v>
      </c>
      <c r="B207" s="77" t="s">
        <v>96</v>
      </c>
      <c r="C207" s="81">
        <f>'[2]CDCM Forecast Data'!C207</f>
        <v>0.69860207370502614</v>
      </c>
      <c r="D207" s="81">
        <f>'[2]CDCM Forecast Data'!D207</f>
        <v>0.69860207370502614</v>
      </c>
      <c r="E207" s="81">
        <f>'Smoothed Input Details'!L105</f>
        <v>0.69957381670812457</v>
      </c>
      <c r="F207" s="81">
        <f t="shared" si="25"/>
        <v>0.69957381670812457</v>
      </c>
      <c r="G207" s="81">
        <f t="shared" si="25"/>
        <v>0.69957381670812457</v>
      </c>
      <c r="H207" s="81">
        <f t="shared" si="25"/>
        <v>0.69957381670812457</v>
      </c>
      <c r="I207" s="81">
        <f t="shared" si="25"/>
        <v>0.69957381670812457</v>
      </c>
      <c r="J207" s="74"/>
    </row>
    <row r="208" spans="1:10">
      <c r="A208" s="68">
        <v>195</v>
      </c>
      <c r="B208" s="83" t="s">
        <v>1026</v>
      </c>
      <c r="C208" s="82"/>
      <c r="D208" s="82"/>
      <c r="E208" s="82"/>
      <c r="F208" s="82"/>
      <c r="G208" s="82"/>
      <c r="H208" s="82"/>
      <c r="I208" s="82"/>
      <c r="J208" s="71"/>
    </row>
    <row r="209" spans="1:10">
      <c r="A209" s="68">
        <v>196</v>
      </c>
      <c r="B209" s="77" t="s">
        <v>93</v>
      </c>
      <c r="C209" s="81">
        <f>'[2]CDCM Forecast Data'!C209</f>
        <v>0.54767884322678839</v>
      </c>
      <c r="D209" s="81">
        <f>'[2]CDCM Forecast Data'!D209</f>
        <v>0.54767884322678839</v>
      </c>
      <c r="E209" s="81">
        <f>'Smoothed Input Details'!M102</f>
        <v>0.54714133626103079</v>
      </c>
      <c r="F209" s="81">
        <f t="shared" ref="F209:I212" si="26">E209</f>
        <v>0.54714133626103079</v>
      </c>
      <c r="G209" s="81">
        <f t="shared" si="26"/>
        <v>0.54714133626103079</v>
      </c>
      <c r="H209" s="81">
        <f t="shared" si="26"/>
        <v>0.54714133626103079</v>
      </c>
      <c r="I209" s="81">
        <f t="shared" si="26"/>
        <v>0.54714133626103079</v>
      </c>
      <c r="J209" s="74"/>
    </row>
    <row r="210" spans="1:10">
      <c r="A210" s="68">
        <v>197</v>
      </c>
      <c r="B210" s="77" t="s">
        <v>94</v>
      </c>
      <c r="C210" s="81">
        <f>'[2]CDCM Forecast Data'!C210</f>
        <v>0.81521641708259829</v>
      </c>
      <c r="D210" s="81">
        <f>'[2]CDCM Forecast Data'!D210</f>
        <v>0.81521641708259829</v>
      </c>
      <c r="E210" s="81">
        <f>'Smoothed Input Details'!M103</f>
        <v>0.81538968670420919</v>
      </c>
      <c r="F210" s="81">
        <f t="shared" si="26"/>
        <v>0.81538968670420919</v>
      </c>
      <c r="G210" s="81">
        <f t="shared" si="26"/>
        <v>0.81538968670420919</v>
      </c>
      <c r="H210" s="81">
        <f t="shared" si="26"/>
        <v>0.81538968670420919</v>
      </c>
      <c r="I210" s="81">
        <f t="shared" si="26"/>
        <v>0.81538968670420919</v>
      </c>
      <c r="J210" s="74"/>
    </row>
    <row r="211" spans="1:10">
      <c r="A211" s="68">
        <v>198</v>
      </c>
      <c r="B211" s="77" t="s">
        <v>95</v>
      </c>
      <c r="C211" s="81">
        <f>'[2]CDCM Forecast Data'!C211</f>
        <v>0.69088060614978131</v>
      </c>
      <c r="D211" s="81">
        <f>'[2]CDCM Forecast Data'!D211</f>
        <v>0.69088060614978131</v>
      </c>
      <c r="E211" s="81">
        <f>'Smoothed Input Details'!M104</f>
        <v>0.69261155856593071</v>
      </c>
      <c r="F211" s="81">
        <f t="shared" si="26"/>
        <v>0.69261155856593071</v>
      </c>
      <c r="G211" s="81">
        <f t="shared" si="26"/>
        <v>0.69261155856593071</v>
      </c>
      <c r="H211" s="81">
        <f t="shared" si="26"/>
        <v>0.69261155856593071</v>
      </c>
      <c r="I211" s="81">
        <f t="shared" si="26"/>
        <v>0.69261155856593071</v>
      </c>
      <c r="J211" s="74"/>
    </row>
    <row r="212" spans="1:10">
      <c r="A212" s="68">
        <v>199</v>
      </c>
      <c r="B212" s="77" t="s">
        <v>96</v>
      </c>
      <c r="C212" s="81">
        <f>'[2]CDCM Forecast Data'!C212</f>
        <v>0.29893477367184035</v>
      </c>
      <c r="D212" s="81">
        <f>'[2]CDCM Forecast Data'!D212</f>
        <v>0.29893477367184035</v>
      </c>
      <c r="E212" s="81">
        <f>'Smoothed Input Details'!M105</f>
        <v>0.29797689356944818</v>
      </c>
      <c r="F212" s="81">
        <f t="shared" si="26"/>
        <v>0.29797689356944818</v>
      </c>
      <c r="G212" s="81">
        <f t="shared" si="26"/>
        <v>0.29797689356944818</v>
      </c>
      <c r="H212" s="81">
        <f t="shared" si="26"/>
        <v>0.29797689356944818</v>
      </c>
      <c r="I212" s="81">
        <f t="shared" si="26"/>
        <v>0.29797689356944818</v>
      </c>
      <c r="J212" s="74"/>
    </row>
    <row r="213" spans="1:10">
      <c r="A213" s="68">
        <v>200</v>
      </c>
      <c r="B213" s="73" t="s">
        <v>202</v>
      </c>
      <c r="C213" s="72"/>
      <c r="D213" s="72"/>
      <c r="E213" s="72"/>
      <c r="F213" s="72"/>
      <c r="G213" s="72"/>
      <c r="H213" s="72"/>
      <c r="I213" s="72"/>
      <c r="J213" s="71"/>
    </row>
    <row r="214" spans="1:10">
      <c r="A214" s="68">
        <v>201</v>
      </c>
      <c r="B214" s="77" t="s">
        <v>200</v>
      </c>
      <c r="C214" s="79">
        <f>'[2]CDCM Forecast Data'!C214</f>
        <v>152</v>
      </c>
      <c r="D214" s="79">
        <f>'[2]CDCM Forecast Data'!D214</f>
        <v>152</v>
      </c>
      <c r="E214" s="79">
        <f>'[2]CDCM Forecast Data'!E214</f>
        <v>152</v>
      </c>
      <c r="F214" s="79">
        <v>152</v>
      </c>
      <c r="G214" s="79">
        <v>150</v>
      </c>
      <c r="H214" s="79">
        <v>152</v>
      </c>
      <c r="I214" s="79">
        <v>152</v>
      </c>
      <c r="J214" s="74"/>
    </row>
    <row r="215" spans="1:10">
      <c r="A215" s="68">
        <v>202</v>
      </c>
      <c r="B215" s="77" t="s">
        <v>201</v>
      </c>
      <c r="C215" s="79">
        <f>'[2]CDCM Forecast Data'!C215</f>
        <v>3814</v>
      </c>
      <c r="D215" s="79">
        <f>'[2]CDCM Forecast Data'!D215</f>
        <v>3803</v>
      </c>
      <c r="E215" s="79">
        <f>'[2]CDCM Forecast Data'!E215</f>
        <v>3803</v>
      </c>
      <c r="F215" s="79">
        <v>3828</v>
      </c>
      <c r="G215" s="79">
        <v>3816</v>
      </c>
      <c r="H215" s="79">
        <v>3814</v>
      </c>
      <c r="I215" s="79">
        <v>3814</v>
      </c>
      <c r="J215" s="74"/>
    </row>
    <row r="216" spans="1:10">
      <c r="A216" s="68">
        <v>203</v>
      </c>
      <c r="B216" s="77" t="s">
        <v>197</v>
      </c>
      <c r="C216" s="79">
        <f>'[2]CDCM Forecast Data'!C216</f>
        <v>4794</v>
      </c>
      <c r="D216" s="79">
        <f>'[2]CDCM Forecast Data'!D216</f>
        <v>4805</v>
      </c>
      <c r="E216" s="79">
        <f>'[2]CDCM Forecast Data'!E216</f>
        <v>4805</v>
      </c>
      <c r="F216" s="79">
        <v>4804</v>
      </c>
      <c r="G216" s="79">
        <v>4794</v>
      </c>
      <c r="H216" s="79">
        <v>4794</v>
      </c>
      <c r="I216" s="79">
        <v>4794</v>
      </c>
      <c r="J216" s="74"/>
    </row>
    <row r="217" spans="1:10">
      <c r="A217" s="68">
        <v>204</v>
      </c>
      <c r="B217" s="73" t="s">
        <v>1030</v>
      </c>
      <c r="C217" s="72"/>
      <c r="D217" s="72"/>
      <c r="E217" s="72"/>
      <c r="F217" s="72"/>
      <c r="G217" s="72"/>
      <c r="H217" s="72"/>
      <c r="I217" s="72"/>
      <c r="J217" s="71"/>
    </row>
    <row r="218" spans="1:10">
      <c r="A218" s="68">
        <v>205</v>
      </c>
      <c r="B218" s="77" t="s">
        <v>195</v>
      </c>
      <c r="C218" s="79">
        <f>'[2]CDCM Forecast Data'!C218</f>
        <v>522</v>
      </c>
      <c r="D218" s="79">
        <f>'[2]CDCM Forecast Data'!D218</f>
        <v>520</v>
      </c>
      <c r="E218" s="78">
        <f>'[2]CDCM Forecast Data'!E218</f>
        <v>520</v>
      </c>
      <c r="F218" s="79">
        <v>524</v>
      </c>
      <c r="G218" s="79">
        <v>522</v>
      </c>
      <c r="H218" s="79">
        <v>522</v>
      </c>
      <c r="I218" s="79">
        <v>522</v>
      </c>
      <c r="J218" s="74"/>
    </row>
    <row r="219" spans="1:10">
      <c r="A219" s="68">
        <v>206</v>
      </c>
      <c r="B219" s="77" t="s">
        <v>196</v>
      </c>
      <c r="C219" s="79">
        <f>'[2]CDCM Forecast Data'!C219</f>
        <v>3444</v>
      </c>
      <c r="D219" s="79">
        <f>'[2]CDCM Forecast Data'!D219</f>
        <v>3435</v>
      </c>
      <c r="E219" s="78">
        <f>'[2]CDCM Forecast Data'!E219</f>
        <v>3435</v>
      </c>
      <c r="F219" s="79">
        <v>3456</v>
      </c>
      <c r="G219" s="79">
        <v>3444</v>
      </c>
      <c r="H219" s="79">
        <v>3444</v>
      </c>
      <c r="I219" s="79">
        <v>3444</v>
      </c>
      <c r="J219" s="74"/>
    </row>
    <row r="220" spans="1:10">
      <c r="A220" s="68">
        <v>207</v>
      </c>
      <c r="B220" s="77" t="s">
        <v>197</v>
      </c>
      <c r="C220" s="79">
        <f>'[2]CDCM Forecast Data'!C220</f>
        <v>4794</v>
      </c>
      <c r="D220" s="79">
        <f>'[2]CDCM Forecast Data'!D220</f>
        <v>4805</v>
      </c>
      <c r="E220" s="78">
        <f>'[2]CDCM Forecast Data'!E220</f>
        <v>4805</v>
      </c>
      <c r="F220" s="79">
        <v>4804</v>
      </c>
      <c r="G220" s="79">
        <v>4794</v>
      </c>
      <c r="H220" s="79">
        <v>4794</v>
      </c>
      <c r="I220" s="79">
        <v>4794</v>
      </c>
      <c r="J220" s="74"/>
    </row>
    <row r="221" spans="1:10">
      <c r="A221" s="68">
        <v>208</v>
      </c>
      <c r="B221" s="73" t="s">
        <v>1029</v>
      </c>
      <c r="C221" s="72"/>
      <c r="D221" s="72"/>
      <c r="E221" s="72"/>
      <c r="F221" s="72"/>
      <c r="G221" s="72"/>
      <c r="H221" s="72"/>
      <c r="I221" s="72"/>
      <c r="J221" s="71"/>
    </row>
    <row r="222" spans="1:10">
      <c r="A222" s="68">
        <v>209</v>
      </c>
      <c r="B222" s="83" t="s">
        <v>1028</v>
      </c>
      <c r="C222" s="82"/>
      <c r="D222" s="82"/>
      <c r="E222" s="82"/>
      <c r="F222" s="82"/>
      <c r="G222" s="82"/>
      <c r="H222" s="82"/>
      <c r="I222" s="82"/>
      <c r="J222" s="71"/>
    </row>
    <row r="223" spans="1:10">
      <c r="A223" s="68">
        <v>210</v>
      </c>
      <c r="B223" s="77" t="s">
        <v>22</v>
      </c>
      <c r="C223" s="81">
        <f>'[2]CDCM Forecast Data'!C223</f>
        <v>0.98852821561988879</v>
      </c>
      <c r="D223" s="81">
        <f>'[2]CDCM Forecast Data'!D223</f>
        <v>0.98852821561988879</v>
      </c>
      <c r="E223" s="80">
        <f>'Smoothed Input Details'!N115</f>
        <v>1</v>
      </c>
      <c r="F223" s="80">
        <f t="shared" ref="F223:I231" si="27">E223</f>
        <v>1</v>
      </c>
      <c r="G223" s="80">
        <f t="shared" si="27"/>
        <v>1</v>
      </c>
      <c r="H223" s="80">
        <f t="shared" si="27"/>
        <v>1</v>
      </c>
      <c r="I223" s="80">
        <f t="shared" si="27"/>
        <v>1</v>
      </c>
      <c r="J223" s="74"/>
    </row>
    <row r="224" spans="1:10">
      <c r="A224" s="68">
        <v>211</v>
      </c>
      <c r="B224" s="77" t="s">
        <v>23</v>
      </c>
      <c r="C224" s="81">
        <f>'[2]CDCM Forecast Data'!C224</f>
        <v>0.84607233153659178</v>
      </c>
      <c r="D224" s="81">
        <f>'[2]CDCM Forecast Data'!D224</f>
        <v>0.84607233153659178</v>
      </c>
      <c r="E224" s="80">
        <f>'Smoothed Input Details'!N116</f>
        <v>0.84421935577541152</v>
      </c>
      <c r="F224" s="80">
        <f t="shared" si="27"/>
        <v>0.84421935577541152</v>
      </c>
      <c r="G224" s="80">
        <f t="shared" si="27"/>
        <v>0.84421935577541152</v>
      </c>
      <c r="H224" s="80">
        <f t="shared" si="27"/>
        <v>0.84421935577541152</v>
      </c>
      <c r="I224" s="80">
        <f t="shared" si="27"/>
        <v>0.84421935577541152</v>
      </c>
      <c r="J224" s="74"/>
    </row>
    <row r="225" spans="1:10">
      <c r="A225" s="68">
        <v>212</v>
      </c>
      <c r="B225" s="77" t="s">
        <v>24</v>
      </c>
      <c r="C225" s="81">
        <f>'[2]CDCM Forecast Data'!C225</f>
        <v>0.84607233153659178</v>
      </c>
      <c r="D225" s="81">
        <f>'[2]CDCM Forecast Data'!D225</f>
        <v>0.84607233153659178</v>
      </c>
      <c r="E225" s="80">
        <f>'Smoothed Input Details'!N117</f>
        <v>0.84421935577541152</v>
      </c>
      <c r="F225" s="80">
        <f t="shared" si="27"/>
        <v>0.84421935577541152</v>
      </c>
      <c r="G225" s="80">
        <f t="shared" si="27"/>
        <v>0.84421935577541152</v>
      </c>
      <c r="H225" s="80">
        <f t="shared" si="27"/>
        <v>0.84421935577541152</v>
      </c>
      <c r="I225" s="80">
        <f t="shared" si="27"/>
        <v>0.84421935577541152</v>
      </c>
      <c r="J225" s="74"/>
    </row>
    <row r="226" spans="1:10">
      <c r="A226" s="68">
        <v>213</v>
      </c>
      <c r="B226" s="77" t="s">
        <v>25</v>
      </c>
      <c r="C226" s="81">
        <f>'[2]CDCM Forecast Data'!C226</f>
        <v>0.5644370012833515</v>
      </c>
      <c r="D226" s="81">
        <f>'[2]CDCM Forecast Data'!D226</f>
        <v>0.5644370012833515</v>
      </c>
      <c r="E226" s="80">
        <f>'Smoothed Input Details'!N118</f>
        <v>0.60266573066353191</v>
      </c>
      <c r="F226" s="80">
        <f t="shared" si="27"/>
        <v>0.60266573066353191</v>
      </c>
      <c r="G226" s="80">
        <f t="shared" si="27"/>
        <v>0.60266573066353191</v>
      </c>
      <c r="H226" s="80">
        <f t="shared" si="27"/>
        <v>0.60266573066353191</v>
      </c>
      <c r="I226" s="80">
        <f t="shared" si="27"/>
        <v>0.60266573066353191</v>
      </c>
      <c r="J226" s="74"/>
    </row>
    <row r="227" spans="1:10">
      <c r="A227" s="68">
        <v>214</v>
      </c>
      <c r="B227" s="77" t="s">
        <v>26</v>
      </c>
      <c r="C227" s="81">
        <f>'[2]CDCM Forecast Data'!C227</f>
        <v>0.5644370012833515</v>
      </c>
      <c r="D227" s="81">
        <f>'[2]CDCM Forecast Data'!D227</f>
        <v>0.5644370012833515</v>
      </c>
      <c r="E227" s="80">
        <f>'Smoothed Input Details'!N119</f>
        <v>0.60266573066353191</v>
      </c>
      <c r="F227" s="80">
        <f t="shared" si="27"/>
        <v>0.60266573066353191</v>
      </c>
      <c r="G227" s="80">
        <f t="shared" si="27"/>
        <v>0.60266573066353191</v>
      </c>
      <c r="H227" s="80">
        <f t="shared" si="27"/>
        <v>0.60266573066353191</v>
      </c>
      <c r="I227" s="80">
        <f t="shared" si="27"/>
        <v>0.60266573066353191</v>
      </c>
      <c r="J227" s="74"/>
    </row>
    <row r="228" spans="1:10">
      <c r="A228" s="68">
        <v>215</v>
      </c>
      <c r="B228" s="77" t="s">
        <v>31</v>
      </c>
      <c r="C228" s="81">
        <f>'[2]CDCM Forecast Data'!C228</f>
        <v>0.84607233153659178</v>
      </c>
      <c r="D228" s="81">
        <f>'[2]CDCM Forecast Data'!D228</f>
        <v>0.84607233153659178</v>
      </c>
      <c r="E228" s="80">
        <f>'Smoothed Input Details'!N120</f>
        <v>0.84421935577541152</v>
      </c>
      <c r="F228" s="80">
        <f t="shared" si="27"/>
        <v>0.84421935577541152</v>
      </c>
      <c r="G228" s="80">
        <f t="shared" si="27"/>
        <v>0.84421935577541152</v>
      </c>
      <c r="H228" s="80">
        <f t="shared" si="27"/>
        <v>0.84421935577541152</v>
      </c>
      <c r="I228" s="80">
        <f t="shared" si="27"/>
        <v>0.84421935577541152</v>
      </c>
      <c r="J228" s="74"/>
    </row>
    <row r="229" spans="1:10">
      <c r="A229" s="68">
        <v>216</v>
      </c>
      <c r="B229" s="77" t="s">
        <v>27</v>
      </c>
      <c r="C229" s="81">
        <f>'[2]CDCM Forecast Data'!C229</f>
        <v>0.5644370012833515</v>
      </c>
      <c r="D229" s="81">
        <f>'[2]CDCM Forecast Data'!D229</f>
        <v>0.5644370012833515</v>
      </c>
      <c r="E229" s="80">
        <f>'Smoothed Input Details'!N121</f>
        <v>0.60266573066353191</v>
      </c>
      <c r="F229" s="80">
        <f t="shared" si="27"/>
        <v>0.60266573066353191</v>
      </c>
      <c r="G229" s="80">
        <f t="shared" si="27"/>
        <v>0.60266573066353191</v>
      </c>
      <c r="H229" s="80">
        <f t="shared" si="27"/>
        <v>0.60266573066353191</v>
      </c>
      <c r="I229" s="80">
        <f t="shared" si="27"/>
        <v>0.60266573066353191</v>
      </c>
      <c r="J229" s="74"/>
    </row>
    <row r="230" spans="1:10">
      <c r="A230" s="68">
        <v>217</v>
      </c>
      <c r="B230" s="77" t="s">
        <v>28</v>
      </c>
      <c r="C230" s="81">
        <f>'[2]CDCM Forecast Data'!C230</f>
        <v>0.5644370012833515</v>
      </c>
      <c r="D230" s="81">
        <f>'[2]CDCM Forecast Data'!D230</f>
        <v>0.5644370012833515</v>
      </c>
      <c r="E230" s="80">
        <f>'Smoothed Input Details'!N122</f>
        <v>0.60266573066353191</v>
      </c>
      <c r="F230" s="80">
        <f t="shared" si="27"/>
        <v>0.60266573066353191</v>
      </c>
      <c r="G230" s="80">
        <f t="shared" si="27"/>
        <v>0.60266573066353191</v>
      </c>
      <c r="H230" s="80">
        <f t="shared" si="27"/>
        <v>0.60266573066353191</v>
      </c>
      <c r="I230" s="80">
        <f t="shared" si="27"/>
        <v>0.60266573066353191</v>
      </c>
      <c r="J230" s="74"/>
    </row>
    <row r="231" spans="1:10">
      <c r="A231" s="68">
        <v>218</v>
      </c>
      <c r="B231" s="77" t="s">
        <v>29</v>
      </c>
      <c r="C231" s="81">
        <f>'[2]CDCM Forecast Data'!C231</f>
        <v>0.5644370012833515</v>
      </c>
      <c r="D231" s="81">
        <f>'[2]CDCM Forecast Data'!D231</f>
        <v>0.5644370012833515</v>
      </c>
      <c r="E231" s="80">
        <f>'Smoothed Input Details'!N123</f>
        <v>0.60266573066353191</v>
      </c>
      <c r="F231" s="80">
        <f t="shared" si="27"/>
        <v>0.60266573066353191</v>
      </c>
      <c r="G231" s="80">
        <f t="shared" si="27"/>
        <v>0.60266573066353191</v>
      </c>
      <c r="H231" s="80">
        <f t="shared" si="27"/>
        <v>0.60266573066353191</v>
      </c>
      <c r="I231" s="80">
        <f t="shared" si="27"/>
        <v>0.60266573066353191</v>
      </c>
      <c r="J231" s="74"/>
    </row>
    <row r="232" spans="1:10">
      <c r="A232" s="68">
        <v>219</v>
      </c>
      <c r="B232" s="83" t="s">
        <v>1027</v>
      </c>
      <c r="C232" s="82"/>
      <c r="D232" s="82"/>
      <c r="E232" s="82"/>
      <c r="F232" s="82"/>
      <c r="G232" s="82"/>
      <c r="H232" s="82"/>
      <c r="I232" s="82"/>
      <c r="J232" s="71"/>
    </row>
    <row r="233" spans="1:10">
      <c r="A233" s="68">
        <v>220</v>
      </c>
      <c r="B233" s="77" t="s">
        <v>22</v>
      </c>
      <c r="C233" s="81">
        <f>'[2]CDCM Forecast Data'!C233</f>
        <v>1.14717843801112E-2</v>
      </c>
      <c r="D233" s="81">
        <f>'[2]CDCM Forecast Data'!D233</f>
        <v>1.14717843801112E-2</v>
      </c>
      <c r="E233" s="80">
        <f>'Smoothed Input Details'!O115</f>
        <v>0</v>
      </c>
      <c r="F233" s="80">
        <f t="shared" ref="F233:I241" si="28">E233</f>
        <v>0</v>
      </c>
      <c r="G233" s="80">
        <f t="shared" si="28"/>
        <v>0</v>
      </c>
      <c r="H233" s="80">
        <f t="shared" si="28"/>
        <v>0</v>
      </c>
      <c r="I233" s="80">
        <f t="shared" si="28"/>
        <v>0</v>
      </c>
      <c r="J233" s="74"/>
    </row>
    <row r="234" spans="1:10">
      <c r="A234" s="68">
        <v>221</v>
      </c>
      <c r="B234" s="77" t="s">
        <v>23</v>
      </c>
      <c r="C234" s="81">
        <f>'[2]CDCM Forecast Data'!C234</f>
        <v>7.7281889857334848E-2</v>
      </c>
      <c r="D234" s="81">
        <f>'[2]CDCM Forecast Data'!D234</f>
        <v>7.7281889857334848E-2</v>
      </c>
      <c r="E234" s="80">
        <f>'Smoothed Input Details'!O116</f>
        <v>9.0147705546417975E-2</v>
      </c>
      <c r="F234" s="80">
        <f t="shared" si="28"/>
        <v>9.0147705546417975E-2</v>
      </c>
      <c r="G234" s="80">
        <f t="shared" si="28"/>
        <v>9.0147705546417975E-2</v>
      </c>
      <c r="H234" s="80">
        <f t="shared" si="28"/>
        <v>9.0147705546417975E-2</v>
      </c>
      <c r="I234" s="80">
        <f t="shared" si="28"/>
        <v>9.0147705546417975E-2</v>
      </c>
      <c r="J234" s="74"/>
    </row>
    <row r="235" spans="1:10">
      <c r="A235" s="68">
        <v>222</v>
      </c>
      <c r="B235" s="77" t="s">
        <v>24</v>
      </c>
      <c r="C235" s="81">
        <f>'[2]CDCM Forecast Data'!C235</f>
        <v>7.7281889857334848E-2</v>
      </c>
      <c r="D235" s="81">
        <f>'[2]CDCM Forecast Data'!D235</f>
        <v>7.7281889857334848E-2</v>
      </c>
      <c r="E235" s="80">
        <f>'Smoothed Input Details'!O117</f>
        <v>9.0147705546417975E-2</v>
      </c>
      <c r="F235" s="80">
        <f t="shared" si="28"/>
        <v>9.0147705546417975E-2</v>
      </c>
      <c r="G235" s="80">
        <f t="shared" si="28"/>
        <v>9.0147705546417975E-2</v>
      </c>
      <c r="H235" s="80">
        <f t="shared" si="28"/>
        <v>9.0147705546417975E-2</v>
      </c>
      <c r="I235" s="80">
        <f t="shared" si="28"/>
        <v>9.0147705546417975E-2</v>
      </c>
      <c r="J235" s="74"/>
    </row>
    <row r="236" spans="1:10">
      <c r="A236" s="68">
        <v>223</v>
      </c>
      <c r="B236" s="77" t="s">
        <v>25</v>
      </c>
      <c r="C236" s="81">
        <f>'[2]CDCM Forecast Data'!C236</f>
        <v>0.33711636601601791</v>
      </c>
      <c r="D236" s="81">
        <f>'[2]CDCM Forecast Data'!D236</f>
        <v>0.33711636601601791</v>
      </c>
      <c r="E236" s="80">
        <f>'Smoothed Input Details'!O118</f>
        <v>0.31015129614903031</v>
      </c>
      <c r="F236" s="80">
        <f t="shared" si="28"/>
        <v>0.31015129614903031</v>
      </c>
      <c r="G236" s="80">
        <f t="shared" si="28"/>
        <v>0.31015129614903031</v>
      </c>
      <c r="H236" s="80">
        <f t="shared" si="28"/>
        <v>0.31015129614903031</v>
      </c>
      <c r="I236" s="80">
        <f t="shared" si="28"/>
        <v>0.31015129614903031</v>
      </c>
      <c r="J236" s="74"/>
    </row>
    <row r="237" spans="1:10">
      <c r="A237" s="68">
        <v>224</v>
      </c>
      <c r="B237" s="77" t="s">
        <v>26</v>
      </c>
      <c r="C237" s="81">
        <f>'[2]CDCM Forecast Data'!C237</f>
        <v>0.33711636601601791</v>
      </c>
      <c r="D237" s="81">
        <f>'[2]CDCM Forecast Data'!D237</f>
        <v>0.33711636601601791</v>
      </c>
      <c r="E237" s="80">
        <f>'Smoothed Input Details'!O119</f>
        <v>0.31015129614903031</v>
      </c>
      <c r="F237" s="80">
        <f t="shared" si="28"/>
        <v>0.31015129614903031</v>
      </c>
      <c r="G237" s="80">
        <f t="shared" si="28"/>
        <v>0.31015129614903031</v>
      </c>
      <c r="H237" s="80">
        <f t="shared" si="28"/>
        <v>0.31015129614903031</v>
      </c>
      <c r="I237" s="80">
        <f t="shared" si="28"/>
        <v>0.31015129614903031</v>
      </c>
      <c r="J237" s="74"/>
    </row>
    <row r="238" spans="1:10">
      <c r="A238" s="68">
        <v>225</v>
      </c>
      <c r="B238" s="77" t="s">
        <v>31</v>
      </c>
      <c r="C238" s="81">
        <f>'[2]CDCM Forecast Data'!C238</f>
        <v>7.7281889857334848E-2</v>
      </c>
      <c r="D238" s="81">
        <f>'[2]CDCM Forecast Data'!D238</f>
        <v>7.7281889857334848E-2</v>
      </c>
      <c r="E238" s="80">
        <f>'Smoothed Input Details'!O120</f>
        <v>9.0147705546417975E-2</v>
      </c>
      <c r="F238" s="80">
        <f t="shared" si="28"/>
        <v>9.0147705546417975E-2</v>
      </c>
      <c r="G238" s="80">
        <f t="shared" si="28"/>
        <v>9.0147705546417975E-2</v>
      </c>
      <c r="H238" s="80">
        <f t="shared" si="28"/>
        <v>9.0147705546417975E-2</v>
      </c>
      <c r="I238" s="80">
        <f t="shared" si="28"/>
        <v>9.0147705546417975E-2</v>
      </c>
      <c r="J238" s="74"/>
    </row>
    <row r="239" spans="1:10">
      <c r="A239" s="68">
        <v>226</v>
      </c>
      <c r="B239" s="77" t="s">
        <v>27</v>
      </c>
      <c r="C239" s="81">
        <f>'[2]CDCM Forecast Data'!C239</f>
        <v>0.33711636601601791</v>
      </c>
      <c r="D239" s="81">
        <f>'[2]CDCM Forecast Data'!D239</f>
        <v>0.33711636601601791</v>
      </c>
      <c r="E239" s="80">
        <f>'Smoothed Input Details'!O121</f>
        <v>0.31015129614903031</v>
      </c>
      <c r="F239" s="80">
        <f t="shared" si="28"/>
        <v>0.31015129614903031</v>
      </c>
      <c r="G239" s="80">
        <f t="shared" si="28"/>
        <v>0.31015129614903031</v>
      </c>
      <c r="H239" s="80">
        <f t="shared" si="28"/>
        <v>0.31015129614903031</v>
      </c>
      <c r="I239" s="80">
        <f t="shared" si="28"/>
        <v>0.31015129614903031</v>
      </c>
      <c r="J239" s="74"/>
    </row>
    <row r="240" spans="1:10">
      <c r="A240" s="68">
        <v>227</v>
      </c>
      <c r="B240" s="77" t="s">
        <v>28</v>
      </c>
      <c r="C240" s="81">
        <f>'[2]CDCM Forecast Data'!C240</f>
        <v>0.33711636601601791</v>
      </c>
      <c r="D240" s="81">
        <f>'[2]CDCM Forecast Data'!D240</f>
        <v>0.33711636601601791</v>
      </c>
      <c r="E240" s="80">
        <f>'Smoothed Input Details'!O122</f>
        <v>0.31015129614903031</v>
      </c>
      <c r="F240" s="80">
        <f t="shared" si="28"/>
        <v>0.31015129614903031</v>
      </c>
      <c r="G240" s="80">
        <f t="shared" si="28"/>
        <v>0.31015129614903031</v>
      </c>
      <c r="H240" s="80">
        <f t="shared" si="28"/>
        <v>0.31015129614903031</v>
      </c>
      <c r="I240" s="80">
        <f t="shared" si="28"/>
        <v>0.31015129614903031</v>
      </c>
      <c r="J240" s="74"/>
    </row>
    <row r="241" spans="1:10">
      <c r="A241" s="68">
        <v>228</v>
      </c>
      <c r="B241" s="77" t="s">
        <v>29</v>
      </c>
      <c r="C241" s="81">
        <f>'[2]CDCM Forecast Data'!C241</f>
        <v>0.33711636601601791</v>
      </c>
      <c r="D241" s="81">
        <f>'[2]CDCM Forecast Data'!D241</f>
        <v>0.33711636601601791</v>
      </c>
      <c r="E241" s="80">
        <f>'Smoothed Input Details'!O123</f>
        <v>0.31015129614903031</v>
      </c>
      <c r="F241" s="80">
        <f t="shared" si="28"/>
        <v>0.31015129614903031</v>
      </c>
      <c r="G241" s="80">
        <f t="shared" si="28"/>
        <v>0.31015129614903031</v>
      </c>
      <c r="H241" s="80">
        <f t="shared" si="28"/>
        <v>0.31015129614903031</v>
      </c>
      <c r="I241" s="80">
        <f t="shared" si="28"/>
        <v>0.31015129614903031</v>
      </c>
      <c r="J241" s="74"/>
    </row>
    <row r="242" spans="1:10">
      <c r="A242" s="68">
        <v>229</v>
      </c>
      <c r="B242" s="83" t="s">
        <v>1026</v>
      </c>
      <c r="C242" s="82"/>
      <c r="D242" s="82"/>
      <c r="E242" s="82"/>
      <c r="F242" s="82"/>
      <c r="G242" s="82"/>
      <c r="H242" s="82"/>
      <c r="I242" s="82"/>
      <c r="J242" s="71"/>
    </row>
    <row r="243" spans="1:10">
      <c r="A243" s="68">
        <v>230</v>
      </c>
      <c r="B243" s="77" t="s">
        <v>22</v>
      </c>
      <c r="C243" s="81">
        <f>'[2]CDCM Forecast Data'!C243</f>
        <v>0</v>
      </c>
      <c r="D243" s="81">
        <f>'[2]CDCM Forecast Data'!D243</f>
        <v>0</v>
      </c>
      <c r="E243" s="80">
        <f>'Smoothed Input Details'!P115</f>
        <v>0</v>
      </c>
      <c r="F243" s="80">
        <f t="shared" ref="F243:I251" si="29">E243</f>
        <v>0</v>
      </c>
      <c r="G243" s="80">
        <f t="shared" si="29"/>
        <v>0</v>
      </c>
      <c r="H243" s="80">
        <f t="shared" si="29"/>
        <v>0</v>
      </c>
      <c r="I243" s="80">
        <f t="shared" si="29"/>
        <v>0</v>
      </c>
      <c r="J243" s="74"/>
    </row>
    <row r="244" spans="1:10">
      <c r="A244" s="68">
        <v>231</v>
      </c>
      <c r="B244" s="77" t="s">
        <v>23</v>
      </c>
      <c r="C244" s="81">
        <f>'[2]CDCM Forecast Data'!C244</f>
        <v>7.664577860607337E-2</v>
      </c>
      <c r="D244" s="81">
        <f>'[2]CDCM Forecast Data'!D244</f>
        <v>7.664577860607337E-2</v>
      </c>
      <c r="E244" s="80">
        <f>'Smoothed Input Details'!P116</f>
        <v>6.5632938678170452E-2</v>
      </c>
      <c r="F244" s="80">
        <f t="shared" si="29"/>
        <v>6.5632938678170452E-2</v>
      </c>
      <c r="G244" s="80">
        <f t="shared" si="29"/>
        <v>6.5632938678170452E-2</v>
      </c>
      <c r="H244" s="80">
        <f t="shared" si="29"/>
        <v>6.5632938678170452E-2</v>
      </c>
      <c r="I244" s="80">
        <f t="shared" si="29"/>
        <v>6.5632938678170452E-2</v>
      </c>
      <c r="J244" s="74"/>
    </row>
    <row r="245" spans="1:10">
      <c r="A245" s="68">
        <v>232</v>
      </c>
      <c r="B245" s="77" t="s">
        <v>24</v>
      </c>
      <c r="C245" s="81">
        <f>'[2]CDCM Forecast Data'!C245</f>
        <v>7.664577860607337E-2</v>
      </c>
      <c r="D245" s="81">
        <f>'[2]CDCM Forecast Data'!D245</f>
        <v>7.664577860607337E-2</v>
      </c>
      <c r="E245" s="80">
        <f>'Smoothed Input Details'!P117</f>
        <v>6.5632938678170452E-2</v>
      </c>
      <c r="F245" s="80">
        <f t="shared" si="29"/>
        <v>6.5632938678170452E-2</v>
      </c>
      <c r="G245" s="80">
        <f t="shared" si="29"/>
        <v>6.5632938678170452E-2</v>
      </c>
      <c r="H245" s="80">
        <f t="shared" si="29"/>
        <v>6.5632938678170452E-2</v>
      </c>
      <c r="I245" s="80">
        <f t="shared" si="29"/>
        <v>6.5632938678170452E-2</v>
      </c>
      <c r="J245" s="74"/>
    </row>
    <row r="246" spans="1:10">
      <c r="A246" s="68">
        <v>233</v>
      </c>
      <c r="B246" s="77" t="s">
        <v>25</v>
      </c>
      <c r="C246" s="81">
        <f>'[2]CDCM Forecast Data'!C246</f>
        <v>9.8446632700630712E-2</v>
      </c>
      <c r="D246" s="81">
        <f>'[2]CDCM Forecast Data'!D246</f>
        <v>9.8446632700630712E-2</v>
      </c>
      <c r="E246" s="80">
        <f>'Smoothed Input Details'!P118</f>
        <v>8.7182973187437854E-2</v>
      </c>
      <c r="F246" s="80">
        <f t="shared" si="29"/>
        <v>8.7182973187437854E-2</v>
      </c>
      <c r="G246" s="80">
        <f t="shared" si="29"/>
        <v>8.7182973187437854E-2</v>
      </c>
      <c r="H246" s="80">
        <f t="shared" si="29"/>
        <v>8.7182973187437854E-2</v>
      </c>
      <c r="I246" s="80">
        <f t="shared" si="29"/>
        <v>8.7182973187437854E-2</v>
      </c>
      <c r="J246" s="74"/>
    </row>
    <row r="247" spans="1:10">
      <c r="A247" s="68">
        <v>234</v>
      </c>
      <c r="B247" s="77" t="s">
        <v>26</v>
      </c>
      <c r="C247" s="81">
        <f>'[2]CDCM Forecast Data'!C247</f>
        <v>9.8446632700630712E-2</v>
      </c>
      <c r="D247" s="81">
        <f>'[2]CDCM Forecast Data'!D247</f>
        <v>9.8446632700630712E-2</v>
      </c>
      <c r="E247" s="80">
        <f>'Smoothed Input Details'!P119</f>
        <v>8.7182973187437854E-2</v>
      </c>
      <c r="F247" s="80">
        <f t="shared" si="29"/>
        <v>8.7182973187437854E-2</v>
      </c>
      <c r="G247" s="80">
        <f t="shared" si="29"/>
        <v>8.7182973187437854E-2</v>
      </c>
      <c r="H247" s="80">
        <f t="shared" si="29"/>
        <v>8.7182973187437854E-2</v>
      </c>
      <c r="I247" s="80">
        <f t="shared" si="29"/>
        <v>8.7182973187437854E-2</v>
      </c>
      <c r="J247" s="74"/>
    </row>
    <row r="248" spans="1:10">
      <c r="A248" s="68">
        <v>235</v>
      </c>
      <c r="B248" s="77" t="s">
        <v>31</v>
      </c>
      <c r="C248" s="81">
        <f>'[2]CDCM Forecast Data'!C248</f>
        <v>7.664577860607337E-2</v>
      </c>
      <c r="D248" s="81">
        <f>'[2]CDCM Forecast Data'!D248</f>
        <v>7.664577860607337E-2</v>
      </c>
      <c r="E248" s="80">
        <f>'Smoothed Input Details'!P120</f>
        <v>6.5632938678170452E-2</v>
      </c>
      <c r="F248" s="80">
        <f t="shared" si="29"/>
        <v>6.5632938678170452E-2</v>
      </c>
      <c r="G248" s="80">
        <f t="shared" si="29"/>
        <v>6.5632938678170452E-2</v>
      </c>
      <c r="H248" s="80">
        <f t="shared" si="29"/>
        <v>6.5632938678170452E-2</v>
      </c>
      <c r="I248" s="80">
        <f t="shared" si="29"/>
        <v>6.5632938678170452E-2</v>
      </c>
      <c r="J248" s="74"/>
    </row>
    <row r="249" spans="1:10">
      <c r="A249" s="68">
        <v>236</v>
      </c>
      <c r="B249" s="77" t="s">
        <v>27</v>
      </c>
      <c r="C249" s="81">
        <f>'[2]CDCM Forecast Data'!C249</f>
        <v>9.8446632700630712E-2</v>
      </c>
      <c r="D249" s="81">
        <f>'[2]CDCM Forecast Data'!D249</f>
        <v>9.8446632700630712E-2</v>
      </c>
      <c r="E249" s="80">
        <f>'Smoothed Input Details'!P121</f>
        <v>8.7182973187437854E-2</v>
      </c>
      <c r="F249" s="80">
        <f t="shared" si="29"/>
        <v>8.7182973187437854E-2</v>
      </c>
      <c r="G249" s="80">
        <f t="shared" si="29"/>
        <v>8.7182973187437854E-2</v>
      </c>
      <c r="H249" s="80">
        <f t="shared" si="29"/>
        <v>8.7182973187437854E-2</v>
      </c>
      <c r="I249" s="80">
        <f t="shared" si="29"/>
        <v>8.7182973187437854E-2</v>
      </c>
      <c r="J249" s="74"/>
    </row>
    <row r="250" spans="1:10">
      <c r="A250" s="68">
        <v>237</v>
      </c>
      <c r="B250" s="77" t="s">
        <v>28</v>
      </c>
      <c r="C250" s="81">
        <f>'[2]CDCM Forecast Data'!C250</f>
        <v>9.8446632700630712E-2</v>
      </c>
      <c r="D250" s="81">
        <f>'[2]CDCM Forecast Data'!D250</f>
        <v>9.8446632700630712E-2</v>
      </c>
      <c r="E250" s="80">
        <f>'Smoothed Input Details'!P122</f>
        <v>8.7182973187437854E-2</v>
      </c>
      <c r="F250" s="80">
        <f t="shared" si="29"/>
        <v>8.7182973187437854E-2</v>
      </c>
      <c r="G250" s="80">
        <f t="shared" si="29"/>
        <v>8.7182973187437854E-2</v>
      </c>
      <c r="H250" s="80">
        <f t="shared" si="29"/>
        <v>8.7182973187437854E-2</v>
      </c>
      <c r="I250" s="80">
        <f t="shared" si="29"/>
        <v>8.7182973187437854E-2</v>
      </c>
      <c r="J250" s="74"/>
    </row>
    <row r="251" spans="1:10">
      <c r="A251" s="68">
        <v>238</v>
      </c>
      <c r="B251" s="77" t="s">
        <v>29</v>
      </c>
      <c r="C251" s="81">
        <f>'[2]CDCM Forecast Data'!C251</f>
        <v>9.8446632700630712E-2</v>
      </c>
      <c r="D251" s="81">
        <f>'[2]CDCM Forecast Data'!D251</f>
        <v>9.8446632700630712E-2</v>
      </c>
      <c r="E251" s="80">
        <f>'Smoothed Input Details'!P123</f>
        <v>8.7182973187437854E-2</v>
      </c>
      <c r="F251" s="80">
        <f t="shared" si="29"/>
        <v>8.7182973187437854E-2</v>
      </c>
      <c r="G251" s="80">
        <f t="shared" si="29"/>
        <v>8.7182973187437854E-2</v>
      </c>
      <c r="H251" s="80">
        <f t="shared" si="29"/>
        <v>8.7182973187437854E-2</v>
      </c>
      <c r="I251" s="80">
        <f t="shared" si="29"/>
        <v>8.7182973187437854E-2</v>
      </c>
      <c r="J251" s="74"/>
    </row>
    <row r="252" spans="1:10">
      <c r="A252" s="68">
        <v>239</v>
      </c>
      <c r="B252" s="83" t="s">
        <v>1025</v>
      </c>
      <c r="C252" s="82"/>
      <c r="D252" s="82"/>
      <c r="E252" s="82"/>
      <c r="F252" s="82"/>
      <c r="G252" s="82"/>
      <c r="H252" s="82"/>
      <c r="I252" s="82"/>
      <c r="J252" s="71"/>
    </row>
    <row r="253" spans="1:10">
      <c r="A253" s="68">
        <v>240</v>
      </c>
      <c r="B253" s="77" t="s">
        <v>22</v>
      </c>
      <c r="C253" s="81">
        <f>'[2]CDCM Forecast Data'!C253</f>
        <v>0.91009304721053841</v>
      </c>
      <c r="D253" s="81">
        <f>'[2]CDCM Forecast Data'!D253</f>
        <v>0.91009304721053841</v>
      </c>
      <c r="E253" s="80">
        <f>'Smoothed Input Details'!Q115</f>
        <v>0.92156483159064961</v>
      </c>
      <c r="F253" s="80">
        <f t="shared" ref="F253:I261" si="30">E253</f>
        <v>0.92156483159064961</v>
      </c>
      <c r="G253" s="80">
        <f t="shared" si="30"/>
        <v>0.92156483159064961</v>
      </c>
      <c r="H253" s="80">
        <f t="shared" si="30"/>
        <v>0.92156483159064961</v>
      </c>
      <c r="I253" s="80">
        <f t="shared" si="30"/>
        <v>0.92156483159064961</v>
      </c>
      <c r="J253" s="74"/>
    </row>
    <row r="254" spans="1:10">
      <c r="A254" s="68">
        <v>241</v>
      </c>
      <c r="B254" s="77" t="s">
        <v>23</v>
      </c>
      <c r="C254" s="81">
        <f>'[2]CDCM Forecast Data'!C254</f>
        <v>0.76569604095819077</v>
      </c>
      <c r="D254" s="81">
        <f>'[2]CDCM Forecast Data'!D254</f>
        <v>0.76569604095819077</v>
      </c>
      <c r="E254" s="80">
        <f>'Smoothed Input Details'!Q116</f>
        <v>0.8059370919906842</v>
      </c>
      <c r="F254" s="80">
        <f t="shared" si="30"/>
        <v>0.8059370919906842</v>
      </c>
      <c r="G254" s="80">
        <f t="shared" si="30"/>
        <v>0.8059370919906842</v>
      </c>
      <c r="H254" s="80">
        <f t="shared" si="30"/>
        <v>0.8059370919906842</v>
      </c>
      <c r="I254" s="80">
        <f t="shared" si="30"/>
        <v>0.8059370919906842</v>
      </c>
      <c r="J254" s="74"/>
    </row>
    <row r="255" spans="1:10">
      <c r="A255" s="68">
        <v>242</v>
      </c>
      <c r="B255" s="77" t="s">
        <v>24</v>
      </c>
      <c r="C255" s="81">
        <f>'[2]CDCM Forecast Data'!C255</f>
        <v>0.76569604095819077</v>
      </c>
      <c r="D255" s="81">
        <f>'[2]CDCM Forecast Data'!D255</f>
        <v>0.76569604095819077</v>
      </c>
      <c r="E255" s="80">
        <f>'Smoothed Input Details'!Q117</f>
        <v>0.8059370919906842</v>
      </c>
      <c r="F255" s="80">
        <f t="shared" si="30"/>
        <v>0.8059370919906842</v>
      </c>
      <c r="G255" s="80">
        <f t="shared" si="30"/>
        <v>0.8059370919906842</v>
      </c>
      <c r="H255" s="80">
        <f t="shared" si="30"/>
        <v>0.8059370919906842</v>
      </c>
      <c r="I255" s="80">
        <f t="shared" si="30"/>
        <v>0.8059370919906842</v>
      </c>
      <c r="J255" s="74"/>
    </row>
    <row r="256" spans="1:10">
      <c r="A256" s="68">
        <v>243</v>
      </c>
      <c r="B256" s="77" t="s">
        <v>25</v>
      </c>
      <c r="C256" s="81">
        <f>'[2]CDCM Forecast Data'!C256</f>
        <v>0.49041823982187349</v>
      </c>
      <c r="D256" s="81">
        <f>'[2]CDCM Forecast Data'!D256</f>
        <v>0.49041823982187349</v>
      </c>
      <c r="E256" s="80">
        <f>'Smoothed Input Details'!Q118</f>
        <v>0.53548212993836886</v>
      </c>
      <c r="F256" s="80">
        <f t="shared" si="30"/>
        <v>0.53548212993836886</v>
      </c>
      <c r="G256" s="80">
        <f t="shared" si="30"/>
        <v>0.53548212993836886</v>
      </c>
      <c r="H256" s="80">
        <f t="shared" si="30"/>
        <v>0.53548212993836886</v>
      </c>
      <c r="I256" s="80">
        <f t="shared" si="30"/>
        <v>0.53548212993836886</v>
      </c>
      <c r="J256" s="74"/>
    </row>
    <row r="257" spans="1:10">
      <c r="A257" s="68">
        <v>244</v>
      </c>
      <c r="B257" s="77" t="s">
        <v>26</v>
      </c>
      <c r="C257" s="81">
        <f>'[2]CDCM Forecast Data'!C257</f>
        <v>0.49041823982187349</v>
      </c>
      <c r="D257" s="81">
        <f>'[2]CDCM Forecast Data'!D257</f>
        <v>0.49041823982187349</v>
      </c>
      <c r="E257" s="80">
        <f>'Smoothed Input Details'!Q119</f>
        <v>0.53548212993836886</v>
      </c>
      <c r="F257" s="80">
        <f t="shared" si="30"/>
        <v>0.53548212993836886</v>
      </c>
      <c r="G257" s="80">
        <f t="shared" si="30"/>
        <v>0.53548212993836886</v>
      </c>
      <c r="H257" s="80">
        <f t="shared" si="30"/>
        <v>0.53548212993836886</v>
      </c>
      <c r="I257" s="80">
        <f t="shared" si="30"/>
        <v>0.53548212993836886</v>
      </c>
      <c r="J257" s="74"/>
    </row>
    <row r="258" spans="1:10">
      <c r="A258" s="68">
        <v>245</v>
      </c>
      <c r="B258" s="77" t="s">
        <v>31</v>
      </c>
      <c r="C258" s="81">
        <f>'[2]CDCM Forecast Data'!C258</f>
        <v>0.76569604095819077</v>
      </c>
      <c r="D258" s="81">
        <f>'[2]CDCM Forecast Data'!D258</f>
        <v>0.76569604095819077</v>
      </c>
      <c r="E258" s="80">
        <f>'Smoothed Input Details'!Q120</f>
        <v>0.8059370919906842</v>
      </c>
      <c r="F258" s="80">
        <f t="shared" si="30"/>
        <v>0.8059370919906842</v>
      </c>
      <c r="G258" s="80">
        <f t="shared" si="30"/>
        <v>0.8059370919906842</v>
      </c>
      <c r="H258" s="80">
        <f t="shared" si="30"/>
        <v>0.8059370919906842</v>
      </c>
      <c r="I258" s="80">
        <f t="shared" si="30"/>
        <v>0.8059370919906842</v>
      </c>
      <c r="J258" s="74"/>
    </row>
    <row r="259" spans="1:10">
      <c r="A259" s="68">
        <v>246</v>
      </c>
      <c r="B259" s="77" t="s">
        <v>27</v>
      </c>
      <c r="C259" s="81">
        <f>'[2]CDCM Forecast Data'!C259</f>
        <v>0.49041823982187349</v>
      </c>
      <c r="D259" s="81">
        <f>'[2]CDCM Forecast Data'!D259</f>
        <v>0.49041823982187349</v>
      </c>
      <c r="E259" s="80">
        <f>'Smoothed Input Details'!Q121</f>
        <v>0.53548212993836886</v>
      </c>
      <c r="F259" s="80">
        <f t="shared" si="30"/>
        <v>0.53548212993836886</v>
      </c>
      <c r="G259" s="80">
        <f t="shared" si="30"/>
        <v>0.53548212993836886</v>
      </c>
      <c r="H259" s="80">
        <f t="shared" si="30"/>
        <v>0.53548212993836886</v>
      </c>
      <c r="I259" s="80">
        <f t="shared" si="30"/>
        <v>0.53548212993836886</v>
      </c>
      <c r="J259" s="74"/>
    </row>
    <row r="260" spans="1:10">
      <c r="A260" s="68">
        <v>247</v>
      </c>
      <c r="B260" s="77" t="s">
        <v>28</v>
      </c>
      <c r="C260" s="81">
        <f>'[2]CDCM Forecast Data'!C260</f>
        <v>0.49041823982187349</v>
      </c>
      <c r="D260" s="81">
        <f>'[2]CDCM Forecast Data'!D260</f>
        <v>0.49041823982187349</v>
      </c>
      <c r="E260" s="80">
        <f>'Smoothed Input Details'!Q122</f>
        <v>0.53548212993836886</v>
      </c>
      <c r="F260" s="80">
        <f t="shared" si="30"/>
        <v>0.53548212993836886</v>
      </c>
      <c r="G260" s="80">
        <f t="shared" si="30"/>
        <v>0.53548212993836886</v>
      </c>
      <c r="H260" s="80">
        <f t="shared" si="30"/>
        <v>0.53548212993836886</v>
      </c>
      <c r="I260" s="80">
        <f t="shared" si="30"/>
        <v>0.53548212993836886</v>
      </c>
      <c r="J260" s="74"/>
    </row>
    <row r="261" spans="1:10">
      <c r="A261" s="68">
        <v>248</v>
      </c>
      <c r="B261" s="77" t="s">
        <v>29</v>
      </c>
      <c r="C261" s="81">
        <f>'[2]CDCM Forecast Data'!C261</f>
        <v>0.49041823982187349</v>
      </c>
      <c r="D261" s="81">
        <f>'[2]CDCM Forecast Data'!D261</f>
        <v>0.49041823982187349</v>
      </c>
      <c r="E261" s="80">
        <f>'Smoothed Input Details'!Q123</f>
        <v>0.53548212993836886</v>
      </c>
      <c r="F261" s="80">
        <f t="shared" si="30"/>
        <v>0.53548212993836886</v>
      </c>
      <c r="G261" s="80">
        <f t="shared" si="30"/>
        <v>0.53548212993836886</v>
      </c>
      <c r="H261" s="80">
        <f t="shared" si="30"/>
        <v>0.53548212993836886</v>
      </c>
      <c r="I261" s="80">
        <f t="shared" si="30"/>
        <v>0.53548212993836886</v>
      </c>
      <c r="J261" s="74"/>
    </row>
    <row r="262" spans="1:10">
      <c r="A262" s="68">
        <v>249</v>
      </c>
      <c r="B262" s="73" t="s">
        <v>1024</v>
      </c>
      <c r="C262" s="72"/>
      <c r="D262" s="72"/>
      <c r="E262" s="72"/>
      <c r="F262" s="72"/>
      <c r="G262" s="72"/>
      <c r="H262" s="72"/>
      <c r="I262" s="72"/>
      <c r="J262" s="71"/>
    </row>
    <row r="263" spans="1:10" ht="12.75" customHeight="1">
      <c r="A263" s="68">
        <v>250</v>
      </c>
      <c r="B263" s="77" t="s">
        <v>22</v>
      </c>
      <c r="C263" s="76">
        <f>'[2]CDCM Forecast Data'!C263</f>
        <v>0.2064484181643807</v>
      </c>
      <c r="D263" s="76">
        <f>'[2]CDCM Forecast Data'!D263</f>
        <v>0.2064484181643807</v>
      </c>
      <c r="E263" s="75">
        <f>'[2]CDCM Forecast Data'!E263</f>
        <v>0.19278921811900199</v>
      </c>
      <c r="F263" s="75">
        <f>'[2]CDCM Forecast Data'!F263</f>
        <v>0.19278921811900199</v>
      </c>
      <c r="G263" s="75">
        <f>'[2]CDCM Forecast Data'!G263</f>
        <v>0.19278921811900199</v>
      </c>
      <c r="H263" s="75">
        <f>'[2]CDCM Forecast Data'!H263</f>
        <v>0.19278921811900199</v>
      </c>
      <c r="I263" s="75">
        <f>'[2]CDCM Forecast Data'!I263</f>
        <v>0.19278921811900199</v>
      </c>
      <c r="J263" s="74"/>
    </row>
    <row r="264" spans="1:10">
      <c r="A264" s="68">
        <v>251</v>
      </c>
      <c r="B264" s="77" t="s">
        <v>23</v>
      </c>
      <c r="C264" s="76">
        <f>'[2]CDCM Forecast Data'!C264</f>
        <v>0.2064484181643807</v>
      </c>
      <c r="D264" s="76">
        <f>'[2]CDCM Forecast Data'!D264</f>
        <v>0.2064484181643807</v>
      </c>
      <c r="E264" s="75">
        <f>'[2]CDCM Forecast Data'!E264</f>
        <v>0.19278921811900199</v>
      </c>
      <c r="F264" s="75">
        <f>'[2]CDCM Forecast Data'!F264</f>
        <v>0.19278921811900199</v>
      </c>
      <c r="G264" s="75">
        <f>'[2]CDCM Forecast Data'!G264</f>
        <v>0.19278921811900199</v>
      </c>
      <c r="H264" s="75">
        <f>'[2]CDCM Forecast Data'!H264</f>
        <v>0.19278921811900199</v>
      </c>
      <c r="I264" s="75">
        <f>'[2]CDCM Forecast Data'!I264</f>
        <v>0.19278921811900199</v>
      </c>
      <c r="J264" s="74"/>
    </row>
    <row r="265" spans="1:10">
      <c r="A265" s="68">
        <v>252</v>
      </c>
      <c r="B265" s="77" t="s">
        <v>24</v>
      </c>
      <c r="C265" s="76">
        <f>'[2]CDCM Forecast Data'!C265</f>
        <v>0.2064484181643807</v>
      </c>
      <c r="D265" s="76">
        <f>'[2]CDCM Forecast Data'!D265</f>
        <v>0.2064484181643807</v>
      </c>
      <c r="E265" s="75">
        <f>'[2]CDCM Forecast Data'!E265</f>
        <v>0.19278921811900199</v>
      </c>
      <c r="F265" s="75">
        <f>'[2]CDCM Forecast Data'!F265</f>
        <v>0.19278921811900199</v>
      </c>
      <c r="G265" s="75">
        <f>'[2]CDCM Forecast Data'!G265</f>
        <v>0.19278921811900199</v>
      </c>
      <c r="H265" s="75">
        <f>'[2]CDCM Forecast Data'!H265</f>
        <v>0.19278921811900199</v>
      </c>
      <c r="I265" s="75">
        <f>'[2]CDCM Forecast Data'!I265</f>
        <v>0.19278921811900199</v>
      </c>
      <c r="J265" s="74"/>
    </row>
    <row r="266" spans="1:10">
      <c r="A266" s="68">
        <v>253</v>
      </c>
      <c r="B266" s="77" t="s">
        <v>25</v>
      </c>
      <c r="C266" s="76">
        <f>'[2]CDCM Forecast Data'!C266</f>
        <v>0.2064484181643807</v>
      </c>
      <c r="D266" s="76">
        <f>'[2]CDCM Forecast Data'!D266</f>
        <v>0.2064484181643807</v>
      </c>
      <c r="E266" s="75">
        <f>'[2]CDCM Forecast Data'!E266</f>
        <v>0.19278921811900199</v>
      </c>
      <c r="F266" s="75">
        <f>'[2]CDCM Forecast Data'!F266</f>
        <v>0.19278921811900199</v>
      </c>
      <c r="G266" s="75">
        <f>'[2]CDCM Forecast Data'!G266</f>
        <v>0.19278921811900199</v>
      </c>
      <c r="H266" s="75">
        <f>'[2]CDCM Forecast Data'!H266</f>
        <v>0.19278921811900199</v>
      </c>
      <c r="I266" s="75">
        <f>'[2]CDCM Forecast Data'!I266</f>
        <v>0.19278921811900199</v>
      </c>
      <c r="J266" s="74"/>
    </row>
    <row r="267" spans="1:10">
      <c r="A267" s="68">
        <v>254</v>
      </c>
      <c r="B267" s="77" t="s">
        <v>26</v>
      </c>
      <c r="C267" s="76">
        <f>'[2]CDCM Forecast Data'!C267</f>
        <v>0.2064484181643807</v>
      </c>
      <c r="D267" s="76">
        <f>'[2]CDCM Forecast Data'!D267</f>
        <v>0.2064484181643807</v>
      </c>
      <c r="E267" s="75">
        <f>'[2]CDCM Forecast Data'!E267</f>
        <v>0.19278921811900199</v>
      </c>
      <c r="F267" s="75">
        <f>'[2]CDCM Forecast Data'!F267</f>
        <v>0.19278921811900199</v>
      </c>
      <c r="G267" s="75">
        <f>'[2]CDCM Forecast Data'!G267</f>
        <v>0.19278921811900199</v>
      </c>
      <c r="H267" s="75">
        <f>'[2]CDCM Forecast Data'!H267</f>
        <v>0.19278921811900199</v>
      </c>
      <c r="I267" s="75">
        <f>'[2]CDCM Forecast Data'!I267</f>
        <v>0.19278921811900199</v>
      </c>
      <c r="J267" s="74"/>
    </row>
    <row r="268" spans="1:10">
      <c r="A268" s="68">
        <v>255</v>
      </c>
      <c r="B268" s="77" t="s">
        <v>31</v>
      </c>
      <c r="C268" s="76">
        <f>'[2]CDCM Forecast Data'!C268</f>
        <v>0.2064484181643807</v>
      </c>
      <c r="D268" s="76">
        <f>'[2]CDCM Forecast Data'!D268</f>
        <v>0.2064484181643807</v>
      </c>
      <c r="E268" s="75">
        <f>'[2]CDCM Forecast Data'!E268</f>
        <v>0.19278921811900199</v>
      </c>
      <c r="F268" s="75">
        <f>'[2]CDCM Forecast Data'!F268</f>
        <v>0.19278921811900199</v>
      </c>
      <c r="G268" s="75">
        <f>'[2]CDCM Forecast Data'!G268</f>
        <v>0.19278921811900199</v>
      </c>
      <c r="H268" s="75">
        <f>'[2]CDCM Forecast Data'!H268</f>
        <v>0.19278921811900199</v>
      </c>
      <c r="I268" s="75">
        <f>'[2]CDCM Forecast Data'!I268</f>
        <v>0.19278921811900199</v>
      </c>
      <c r="J268" s="74"/>
    </row>
    <row r="269" spans="1:10">
      <c r="A269" s="68">
        <v>256</v>
      </c>
      <c r="B269" s="77" t="s">
        <v>27</v>
      </c>
      <c r="C269" s="76">
        <f>'[2]CDCM Forecast Data'!C269</f>
        <v>0.2064484181643807</v>
      </c>
      <c r="D269" s="76">
        <f>'[2]CDCM Forecast Data'!D269</f>
        <v>0.2064484181643807</v>
      </c>
      <c r="E269" s="75">
        <f>'[2]CDCM Forecast Data'!E269</f>
        <v>0.19278921811900199</v>
      </c>
      <c r="F269" s="75">
        <f>'[2]CDCM Forecast Data'!F269</f>
        <v>0.19278921811900199</v>
      </c>
      <c r="G269" s="75">
        <f>'[2]CDCM Forecast Data'!G269</f>
        <v>0.19278921811900199</v>
      </c>
      <c r="H269" s="75">
        <f>'[2]CDCM Forecast Data'!H269</f>
        <v>0.19278921811900199</v>
      </c>
      <c r="I269" s="75">
        <f>'[2]CDCM Forecast Data'!I269</f>
        <v>0.19278921811900199</v>
      </c>
      <c r="J269" s="74"/>
    </row>
    <row r="270" spans="1:10">
      <c r="A270" s="68">
        <v>257</v>
      </c>
      <c r="B270" s="77" t="s">
        <v>28</v>
      </c>
      <c r="C270" s="76">
        <f>'[2]CDCM Forecast Data'!C270</f>
        <v>0.2064484181643807</v>
      </c>
      <c r="D270" s="76">
        <f>'[2]CDCM Forecast Data'!D270</f>
        <v>0.2064484181643807</v>
      </c>
      <c r="E270" s="75">
        <f>'[2]CDCM Forecast Data'!E270</f>
        <v>0.19278921811900199</v>
      </c>
      <c r="F270" s="75">
        <f>'[2]CDCM Forecast Data'!F270</f>
        <v>0.19278921811900199</v>
      </c>
      <c r="G270" s="75">
        <f>'[2]CDCM Forecast Data'!G270</f>
        <v>0.19278921811900199</v>
      </c>
      <c r="H270" s="75">
        <f>'[2]CDCM Forecast Data'!H270</f>
        <v>0.19278921811900199</v>
      </c>
      <c r="I270" s="75">
        <f>'[2]CDCM Forecast Data'!I270</f>
        <v>0.19278921811900199</v>
      </c>
      <c r="J270" s="74"/>
    </row>
    <row r="271" spans="1:10">
      <c r="A271" s="68">
        <v>258</v>
      </c>
      <c r="B271" s="77" t="s">
        <v>29</v>
      </c>
      <c r="C271" s="76">
        <f>'[2]CDCM Forecast Data'!C271</f>
        <v>0.2064484181643807</v>
      </c>
      <c r="D271" s="76">
        <f>'[2]CDCM Forecast Data'!D271</f>
        <v>0.2064484181643807</v>
      </c>
      <c r="E271" s="75">
        <f>'[2]CDCM Forecast Data'!E271</f>
        <v>0.19278921811900199</v>
      </c>
      <c r="F271" s="75">
        <f>'[2]CDCM Forecast Data'!F271</f>
        <v>0.19278921811900199</v>
      </c>
      <c r="G271" s="75">
        <f>'[2]CDCM Forecast Data'!G271</f>
        <v>0.19278921811900199</v>
      </c>
      <c r="H271" s="75">
        <f>'[2]CDCM Forecast Data'!H271</f>
        <v>0.19278921811900199</v>
      </c>
      <c r="I271" s="75">
        <f>'[2]CDCM Forecast Data'!I271</f>
        <v>0.19278921811900199</v>
      </c>
      <c r="J271" s="74"/>
    </row>
  </sheetData>
  <mergeCells count="5">
    <mergeCell ref="E3:F3"/>
    <mergeCell ref="E4:F4"/>
    <mergeCell ref="E5:F5"/>
    <mergeCell ref="C9:D9"/>
    <mergeCell ref="F9:I9"/>
  </mergeCells>
  <dataValidations count="7">
    <dataValidation type="decimal" allowBlank="1" showInputMessage="1" showErrorMessage="1" error="Must be a non-negative percentage value." sqref="D24:I27">
      <formula1>0</formula1>
      <formula2>4</formula2>
    </dataValidation>
    <dataValidation type="decimal" operator="greaterThanOrEqual" allowBlank="1" showInputMessage="1" showErrorMessage="1" sqref="E31:I38 E40:I45 E49:I50 E218:E220 E111:I111 E116:I116 E113:I114">
      <formula1>0</formula1>
    </dataValidation>
    <dataValidation type="decimal" operator="greaterThan" allowBlank="1" showInputMessage="1" showErrorMessage="1" sqref="E58:I64">
      <formula1>0</formula1>
    </dataValidation>
    <dataValidation type="decimal" allowBlank="1" showInputMessage="1" showErrorMessage="1" error="The LDNO discount must be between 0% and 100%." sqref="E66:I69">
      <formula1>0</formula1>
      <formula2>1</formula2>
    </dataValidation>
    <dataValidation type="decimal" allowBlank="1" showInputMessage="1" showErrorMessage="1" error="The coincidence factor must be between 0% and 100%." sqref="E71:I89 F91:I109">
      <formula1>0</formula1>
      <formula2>1</formula2>
    </dataValidation>
    <dataValidation type="decimal" allowBlank="1" showInputMessage="1" showErrorMessage="1" sqref="E169:I177 E186:I190 E180:I184 E263:I271 E149:I157 E192:I196 E159:I167 E253:I261 E233:I241 E243:I251 E223:I231">
      <formula1>0</formula1>
      <formula2>1</formula2>
    </dataValidation>
    <dataValidation type="decimal" allowBlank="1" showInputMessage="1" showErrorMessage="1" error="The load factor must be between 0% and 100%." sqref="E91:E109">
      <formula1>0</formula1>
      <formula2>1</formula2>
    </dataValidation>
  </dataValidations>
  <pageMargins left="0.75" right="0.75" top="1" bottom="1" header="0.5" footer="0.5"/>
  <pageSetup paperSize="9" scale="36" fitToWidth="2" fitToHeight="3"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D6FCFD"/>
    <pageSetUpPr fitToPage="1"/>
  </sheetPr>
  <dimension ref="A1:K53"/>
  <sheetViews>
    <sheetView showGridLines="0" topLeftCell="A39" workbookViewId="0">
      <selection activeCell="G42" sqref="G42:J42"/>
    </sheetView>
  </sheetViews>
  <sheetFormatPr defaultColWidth="8.85546875" defaultRowHeight="12.75"/>
  <cols>
    <col min="1" max="1" width="42.7109375" style="31" customWidth="1"/>
    <col min="2" max="2" width="15.42578125" style="31" customWidth="1"/>
    <col min="3" max="3" width="9.85546875" style="31" customWidth="1"/>
    <col min="4" max="4" width="11.85546875" style="31" customWidth="1"/>
    <col min="5" max="5" width="11.140625" style="31" customWidth="1"/>
    <col min="6" max="10" width="9.85546875" style="31" customWidth="1"/>
    <col min="11" max="11" width="64.85546875" style="31" customWidth="1"/>
    <col min="12" max="13" width="8.85546875" style="31"/>
    <col min="14" max="14" width="22.28515625" style="31" customWidth="1"/>
    <col min="15" max="16384" width="8.85546875" style="31"/>
  </cols>
  <sheetData>
    <row r="1" spans="1:11" ht="15.75">
      <c r="A1" s="67" t="s">
        <v>1023</v>
      </c>
      <c r="B1" s="65"/>
      <c r="C1" s="63"/>
      <c r="D1" s="63"/>
      <c r="E1" s="63"/>
      <c r="F1" s="63"/>
      <c r="G1" s="63"/>
      <c r="H1" s="63"/>
      <c r="I1" s="63"/>
      <c r="J1" s="63"/>
      <c r="K1" s="63"/>
    </row>
    <row r="2" spans="1:11" ht="15.75">
      <c r="A2" s="66" t="str">
        <f>"Company Name: "&amp;'CDCM Forecast Data'!E3</f>
        <v>Company Name: WPD South West</v>
      </c>
      <c r="B2" s="65"/>
      <c r="C2" s="63"/>
      <c r="D2" s="63"/>
      <c r="E2" s="63"/>
      <c r="F2" s="63"/>
      <c r="G2" s="63"/>
      <c r="H2" s="63"/>
      <c r="I2" s="63"/>
      <c r="J2" s="63"/>
      <c r="K2" s="63"/>
    </row>
    <row r="3" spans="1:11" ht="15.75">
      <c r="A3" s="66" t="s">
        <v>1022</v>
      </c>
      <c r="B3" s="64"/>
      <c r="C3" s="63"/>
      <c r="D3" s="63"/>
      <c r="E3" s="63"/>
      <c r="F3" s="63"/>
      <c r="G3" s="63"/>
      <c r="H3" s="63"/>
      <c r="I3" s="63"/>
      <c r="J3" s="63"/>
      <c r="K3" s="63"/>
    </row>
    <row r="4" spans="1:11" ht="15.75">
      <c r="A4" s="63"/>
      <c r="B4" s="65"/>
      <c r="C4" s="63"/>
      <c r="D4" s="64"/>
      <c r="E4" s="64"/>
      <c r="F4" s="64"/>
      <c r="G4" s="64"/>
      <c r="H4" s="64"/>
      <c r="I4" s="64"/>
      <c r="J4" s="64"/>
      <c r="K4" s="63"/>
    </row>
    <row r="5" spans="1:11" ht="15.75">
      <c r="A5" s="60" t="s">
        <v>1021</v>
      </c>
      <c r="B5" s="59" t="s">
        <v>1020</v>
      </c>
      <c r="C5" s="59" t="s">
        <v>5</v>
      </c>
      <c r="D5" s="46"/>
      <c r="E5" s="46"/>
      <c r="F5" s="46"/>
      <c r="G5" s="46"/>
      <c r="H5" s="46"/>
      <c r="I5" s="46"/>
      <c r="J5" s="46"/>
      <c r="K5" s="61" t="s">
        <v>1019</v>
      </c>
    </row>
    <row r="6" spans="1:11" ht="15.75">
      <c r="A6" s="60" t="s">
        <v>1011</v>
      </c>
      <c r="B6" s="59"/>
      <c r="C6" s="59"/>
      <c r="D6" s="62" t="s">
        <v>1018</v>
      </c>
      <c r="E6" s="58" t="s">
        <v>1017</v>
      </c>
      <c r="F6" s="58" t="s">
        <v>1016</v>
      </c>
      <c r="G6" s="62" t="s">
        <v>1015</v>
      </c>
      <c r="H6" s="62" t="s">
        <v>1014</v>
      </c>
      <c r="I6" s="62" t="s">
        <v>1013</v>
      </c>
      <c r="J6" s="62" t="s">
        <v>1012</v>
      </c>
      <c r="K6" s="61"/>
    </row>
    <row r="7" spans="1:11" ht="15.75">
      <c r="A7" s="60" t="s">
        <v>1011</v>
      </c>
      <c r="B7" s="59"/>
      <c r="C7" s="59"/>
      <c r="D7" s="58" t="str">
        <f>'CDCM Forecast Data'!C11</f>
        <v>2016/17</v>
      </c>
      <c r="E7" s="58" t="str">
        <f>'CDCM Forecast Data'!D11</f>
        <v>2017/18</v>
      </c>
      <c r="F7" s="58" t="str">
        <f>'CDCM Forecast Data'!E11</f>
        <v>2018/19</v>
      </c>
      <c r="G7" s="58" t="str">
        <f>'CDCM Forecast Data'!F11</f>
        <v>2019/20</v>
      </c>
      <c r="H7" s="58" t="str">
        <f>'CDCM Forecast Data'!G11</f>
        <v>2020/21</v>
      </c>
      <c r="I7" s="58" t="str">
        <f>'CDCM Forecast Data'!H11</f>
        <v>2021/22</v>
      </c>
      <c r="J7" s="58" t="str">
        <f>'CDCM Forecast Data'!I11</f>
        <v>2022/23</v>
      </c>
      <c r="K7" s="32"/>
    </row>
    <row r="8" spans="1:11" ht="15.75">
      <c r="A8" s="46" t="s">
        <v>1417</v>
      </c>
      <c r="B8" s="34" t="s">
        <v>1418</v>
      </c>
      <c r="C8" s="34" t="s">
        <v>1419</v>
      </c>
      <c r="D8" s="247">
        <f>'[2]Table 1'!D8</f>
        <v>291.89999999999998</v>
      </c>
      <c r="E8" s="247">
        <f>'[2]Table 1'!E8</f>
        <v>296.5</v>
      </c>
      <c r="F8" s="247">
        <f>'[2]Table 1'!F8</f>
        <v>299.5</v>
      </c>
      <c r="G8" s="247">
        <f>'[2]Table 1'!G8</f>
        <v>302.5</v>
      </c>
      <c r="H8" s="247">
        <f>'[2]Table 1'!H8</f>
        <v>305.5</v>
      </c>
      <c r="I8" s="247">
        <f>'[2]Table 1'!I8</f>
        <v>308.60000000000002</v>
      </c>
      <c r="J8" s="247">
        <f>'[2]Table 1'!J8</f>
        <v>311.7</v>
      </c>
      <c r="K8" s="32"/>
    </row>
    <row r="9" spans="1:11" ht="31.5">
      <c r="A9" s="46" t="s">
        <v>1420</v>
      </c>
      <c r="B9" s="34" t="s">
        <v>1421</v>
      </c>
      <c r="C9" s="34" t="s">
        <v>1419</v>
      </c>
      <c r="D9" s="247">
        <f>'[2]Table 1'!D9</f>
        <v>-1.7474382405404754</v>
      </c>
      <c r="E9" s="247">
        <f>'[2]Table 1'!E9</f>
        <v>-3.9897041526029398</v>
      </c>
      <c r="F9" s="247">
        <f>'[2]Table 1'!F9</f>
        <v>-7.8690744138762465</v>
      </c>
      <c r="G9" s="247">
        <f>'[2]Table 1'!G9</f>
        <v>-9.3843212134901819</v>
      </c>
      <c r="H9" s="247">
        <f>'[2]Table 1'!H9</f>
        <v>-14.984143860869015</v>
      </c>
      <c r="I9" s="247">
        <f>'[2]Table 1'!I9</f>
        <v>-18.27543879072703</v>
      </c>
      <c r="J9" s="247">
        <f>'[2]Table 1'!J9</f>
        <v>-21.535610202349641</v>
      </c>
      <c r="K9" s="32"/>
    </row>
    <row r="10" spans="1:11" ht="15.75">
      <c r="A10" s="46" t="s">
        <v>1422</v>
      </c>
      <c r="B10" s="34" t="s">
        <v>1423</v>
      </c>
      <c r="C10" s="34" t="s">
        <v>1419</v>
      </c>
      <c r="D10" s="247">
        <f>'[2]Table 1'!D10</f>
        <v>0</v>
      </c>
      <c r="E10" s="247">
        <f>'[2]Table 1'!E10</f>
        <v>-6.3265570245591984</v>
      </c>
      <c r="F10" s="247">
        <f>'[2]Table 1'!F10</f>
        <v>-0.89045522307035885</v>
      </c>
      <c r="G10" s="247">
        <f>'[2]Table 1'!G10</f>
        <v>0</v>
      </c>
      <c r="H10" s="247">
        <f>'[2]Table 1'!H10</f>
        <v>0</v>
      </c>
      <c r="I10" s="247">
        <f>'[2]Table 1'!I10</f>
        <v>0</v>
      </c>
      <c r="J10" s="247">
        <f>'[2]Table 1'!J10</f>
        <v>0</v>
      </c>
      <c r="K10" s="32"/>
    </row>
    <row r="11" spans="1:11" ht="15.75">
      <c r="A11" s="35" t="s">
        <v>1424</v>
      </c>
      <c r="B11" s="34" t="s">
        <v>1425</v>
      </c>
      <c r="C11" s="34" t="s">
        <v>1419</v>
      </c>
      <c r="D11" s="247">
        <f>'[2]Table 1'!D11</f>
        <v>1.087</v>
      </c>
      <c r="E11" s="247">
        <f>'[2]Table 1'!E11</f>
        <v>1.121</v>
      </c>
      <c r="F11" s="247">
        <f>'[2]Table 1'!F11</f>
        <v>1.155</v>
      </c>
      <c r="G11" s="247">
        <f>'[2]Table 1'!G11</f>
        <v>1.19</v>
      </c>
      <c r="H11" s="247">
        <f>'[2]Table 1'!H11</f>
        <v>1.2270000000000001</v>
      </c>
      <c r="I11" s="247">
        <f>'[2]Table 1'!I11</f>
        <v>1.2629999999999999</v>
      </c>
      <c r="J11" s="247">
        <f>'[2]Table 1'!J11</f>
        <v>1.302</v>
      </c>
      <c r="K11" s="32"/>
    </row>
    <row r="12" spans="1:11" ht="31.5">
      <c r="A12" s="40" t="s">
        <v>1426</v>
      </c>
      <c r="B12" s="44" t="s">
        <v>1427</v>
      </c>
      <c r="C12" s="44" t="s">
        <v>1419</v>
      </c>
      <c r="D12" s="43">
        <f>(D8+D9+D10)*D11</f>
        <v>315.39583463253246</v>
      </c>
      <c r="E12" s="43">
        <f t="shared" ref="E12:J12" si="0">(E8+E9+E10)*E11</f>
        <v>320.81197122040129</v>
      </c>
      <c r="F12" s="43">
        <f t="shared" si="0"/>
        <v>335.80524326932664</v>
      </c>
      <c r="G12" s="43">
        <f t="shared" si="0"/>
        <v>348.80765775594665</v>
      </c>
      <c r="H12" s="43">
        <f t="shared" si="0"/>
        <v>356.46295548271371</v>
      </c>
      <c r="I12" s="43">
        <f t="shared" si="0"/>
        <v>366.67992080731176</v>
      </c>
      <c r="J12" s="43">
        <f t="shared" si="0"/>
        <v>377.79403551654076</v>
      </c>
      <c r="K12" s="42" t="s">
        <v>1428</v>
      </c>
    </row>
    <row r="13" spans="1:11" ht="15.75">
      <c r="A13" s="46" t="s">
        <v>1429</v>
      </c>
      <c r="B13" s="34" t="s">
        <v>1430</v>
      </c>
      <c r="C13" s="34" t="s">
        <v>1431</v>
      </c>
      <c r="D13" s="247">
        <f>'[2]Table 1'!D13</f>
        <v>0</v>
      </c>
      <c r="E13" s="247">
        <f>'[2]Table 1'!E13</f>
        <v>0.13172712971471864</v>
      </c>
      <c r="F13" s="247">
        <f>'[2]Table 1'!F13</f>
        <v>-5.3809985730633711E-2</v>
      </c>
      <c r="G13" s="247">
        <f>'[2]Table 1'!G13</f>
        <v>-5.5277747608887817E-2</v>
      </c>
      <c r="H13" s="247">
        <f>'[2]Table 1'!H13</f>
        <v>-5.6757779701998079E-2</v>
      </c>
      <c r="I13" s="247">
        <f>'[2]Table 1'!I13</f>
        <v>-5.8116990568747348E-2</v>
      </c>
      <c r="J13" s="247">
        <f>'[2]Table 1'!J13</f>
        <v>-5.9630584062133805E-2</v>
      </c>
      <c r="K13" s="32"/>
    </row>
    <row r="14" spans="1:11" ht="15.75">
      <c r="A14" s="46" t="s">
        <v>1432</v>
      </c>
      <c r="B14" s="34" t="s">
        <v>1433</v>
      </c>
      <c r="C14" s="34" t="s">
        <v>1431</v>
      </c>
      <c r="D14" s="247">
        <f>'[2]Table 1'!D14</f>
        <v>0</v>
      </c>
      <c r="E14" s="247">
        <f>'[2]Table 1'!E14</f>
        <v>0.27798473304118337</v>
      </c>
      <c r="F14" s="247">
        <f>'[2]Table 1'!F14</f>
        <v>2.5643473277667098E-2</v>
      </c>
      <c r="G14" s="247">
        <f>'[2]Table 1'!G14</f>
        <v>1.0260815200457714</v>
      </c>
      <c r="H14" s="247">
        <f>'[2]Table 1'!H14</f>
        <v>-2.6595009609896181</v>
      </c>
      <c r="I14" s="247">
        <f>'[2]Table 1'!I14</f>
        <v>-4.914388392010391</v>
      </c>
      <c r="J14" s="247">
        <f>'[2]Table 1'!J14</f>
        <v>-5.0777869640626019</v>
      </c>
      <c r="K14" s="32"/>
    </row>
    <row r="15" spans="1:11" ht="31.5">
      <c r="A15" s="46" t="s">
        <v>1434</v>
      </c>
      <c r="B15" s="34" t="s">
        <v>1435</v>
      </c>
      <c r="C15" s="34" t="s">
        <v>1431</v>
      </c>
      <c r="D15" s="247">
        <f>'[2]Table 1'!D15</f>
        <v>0</v>
      </c>
      <c r="E15" s="247">
        <f>'[2]Table 1'!E15</f>
        <v>-1.1195775137166488</v>
      </c>
      <c r="F15" s="247">
        <f>'[2]Table 1'!F15</f>
        <v>-1.6792899308203617</v>
      </c>
      <c r="G15" s="247">
        <f>'[2]Table 1'!G15</f>
        <v>-1.7776087987064944</v>
      </c>
      <c r="H15" s="247">
        <f>'[2]Table 1'!H15</f>
        <v>-1.8229208079514558</v>
      </c>
      <c r="I15" s="247">
        <f>'[2]Table 1'!I15</f>
        <v>-1.9005113259736324</v>
      </c>
      <c r="J15" s="247">
        <f>'[2]Table 1'!J15</f>
        <v>-1.9390228095927959</v>
      </c>
      <c r="K15" s="32"/>
    </row>
    <row r="16" spans="1:11" ht="31.5">
      <c r="A16" s="46" t="s">
        <v>1436</v>
      </c>
      <c r="B16" s="34" t="s">
        <v>1437</v>
      </c>
      <c r="C16" s="34" t="s">
        <v>1431</v>
      </c>
      <c r="D16" s="247">
        <f>'[2]Table 1'!D16</f>
        <v>0</v>
      </c>
      <c r="E16" s="247">
        <f>'[2]Table 1'!E16</f>
        <v>-9.7767516421823283E-2</v>
      </c>
      <c r="F16" s="247">
        <f>'[2]Table 1'!F16</f>
        <v>0.20371195492891914</v>
      </c>
      <c r="G16" s="247">
        <f>'[2]Table 1'!G16</f>
        <v>8.7040500603522877E-2</v>
      </c>
      <c r="H16" s="247">
        <f>'[2]Table 1'!H16</f>
        <v>8.5642231887560621E-2</v>
      </c>
      <c r="I16" s="247">
        <f>'[2]Table 1'!I16</f>
        <v>9.0592133274083941E-2</v>
      </c>
      <c r="J16" s="247">
        <f>'[2]Table 1'!J16</f>
        <v>0.1123356874549206</v>
      </c>
      <c r="K16" s="36"/>
    </row>
    <row r="17" spans="1:11" ht="15.75">
      <c r="A17" s="46" t="s">
        <v>1438</v>
      </c>
      <c r="B17" s="34" t="s">
        <v>1439</v>
      </c>
      <c r="C17" s="34" t="s">
        <v>1431</v>
      </c>
      <c r="D17" s="247">
        <f>'[2]Table 1'!D17</f>
        <v>0</v>
      </c>
      <c r="E17" s="247">
        <f>'[2]Table 1'!E17</f>
        <v>-0.1912503570261522</v>
      </c>
      <c r="F17" s="247">
        <f>'[2]Table 1'!F17</f>
        <v>-0.33821637673007843</v>
      </c>
      <c r="G17" s="247">
        <f>'[2]Table 1'!G17</f>
        <v>7.6197454728810246E-2</v>
      </c>
      <c r="H17" s="247">
        <f>'[2]Table 1'!H17</f>
        <v>-0.25935775542709927</v>
      </c>
      <c r="I17" s="247">
        <f>'[2]Table 1'!I17</f>
        <v>0.35984581804251875</v>
      </c>
      <c r="J17" s="247">
        <f>'[2]Table 1'!J17</f>
        <v>-0.55620870303323422</v>
      </c>
      <c r="K17" s="36"/>
    </row>
    <row r="18" spans="1:11" ht="15.75">
      <c r="A18" s="46" t="s">
        <v>1440</v>
      </c>
      <c r="B18" s="34" t="s">
        <v>1441</v>
      </c>
      <c r="C18" s="34" t="s">
        <v>1431</v>
      </c>
      <c r="D18" s="247">
        <f>'[2]Table 1'!D18</f>
        <v>0</v>
      </c>
      <c r="E18" s="247">
        <f>'[2]Table 1'!E18</f>
        <v>2.4510744792598415E-2</v>
      </c>
      <c r="F18" s="247">
        <f>'[2]Table 1'!F18</f>
        <v>2.5202019127367963E-2</v>
      </c>
      <c r="G18" s="247">
        <f>'[2]Table 1'!G18</f>
        <v>2.5889448466512407E-2</v>
      </c>
      <c r="H18" s="247">
        <f>'[2]Table 1'!H18</f>
        <v>2.6582624586394727E-2</v>
      </c>
      <c r="I18" s="247">
        <f>'[2]Table 1'!I18</f>
        <v>2.7219213832736792E-2</v>
      </c>
      <c r="J18" s="247">
        <f>'[2]Table 1'!J18</f>
        <v>2.7928108504486699E-2</v>
      </c>
      <c r="K18" s="36"/>
    </row>
    <row r="19" spans="1:11" ht="15.75">
      <c r="A19" s="46" t="s">
        <v>1010</v>
      </c>
      <c r="B19" s="34" t="s">
        <v>1442</v>
      </c>
      <c r="C19" s="34" t="s">
        <v>1431</v>
      </c>
      <c r="D19" s="247">
        <f>'[2]Table 1'!D19</f>
        <v>0</v>
      </c>
      <c r="E19" s="247">
        <f>'[2]Table 1'!E19</f>
        <v>0</v>
      </c>
      <c r="F19" s="247">
        <f>'[2]Table 1'!F19</f>
        <v>0</v>
      </c>
      <c r="G19" s="247">
        <f>'[2]Table 1'!G19</f>
        <v>0</v>
      </c>
      <c r="H19" s="247">
        <f>'[2]Table 1'!H19</f>
        <v>0</v>
      </c>
      <c r="I19" s="247">
        <f>'[2]Table 1'!I19</f>
        <v>0</v>
      </c>
      <c r="J19" s="247">
        <f>'[2]Table 1'!J19</f>
        <v>0</v>
      </c>
      <c r="K19" s="36"/>
    </row>
    <row r="20" spans="1:11" ht="31.5">
      <c r="A20" s="57" t="s">
        <v>1443</v>
      </c>
      <c r="B20" s="44" t="s">
        <v>1444</v>
      </c>
      <c r="C20" s="44" t="s">
        <v>1431</v>
      </c>
      <c r="D20" s="43">
        <f>SUM(D13:D19)</f>
        <v>0</v>
      </c>
      <c r="E20" s="43">
        <f t="shared" ref="E20:J20" si="1">SUM(E13:E19)</f>
        <v>-0.9743727796161239</v>
      </c>
      <c r="F20" s="43">
        <f t="shared" si="1"/>
        <v>-1.8167588459471196</v>
      </c>
      <c r="G20" s="43">
        <f t="shared" si="1"/>
        <v>-0.6176776224707653</v>
      </c>
      <c r="H20" s="43">
        <f t="shared" si="1"/>
        <v>-4.6863124475962161</v>
      </c>
      <c r="I20" s="43">
        <f t="shared" si="1"/>
        <v>-6.3953595434034298</v>
      </c>
      <c r="J20" s="43">
        <f t="shared" si="1"/>
        <v>-7.4923852647913591</v>
      </c>
      <c r="K20" s="42" t="s">
        <v>1445</v>
      </c>
    </row>
    <row r="21" spans="1:11" ht="31.5">
      <c r="A21" s="46" t="s">
        <v>1446</v>
      </c>
      <c r="B21" s="56" t="s">
        <v>1447</v>
      </c>
      <c r="C21" s="56" t="s">
        <v>1448</v>
      </c>
      <c r="D21" s="247">
        <f>'[2]Table 1'!D21</f>
        <v>2.1672247828499995</v>
      </c>
      <c r="E21" s="247">
        <f>'[2]Table 1'!E21</f>
        <v>3.9852987752562572</v>
      </c>
      <c r="F21" s="247">
        <f>'[2]Table 1'!F21</f>
        <v>4.0739716730057092</v>
      </c>
      <c r="G21" s="247">
        <f>'[2]Table 1'!G21</f>
        <v>4.2133824076118289</v>
      </c>
      <c r="H21" s="247">
        <f>'[2]Table 1'!H21</f>
        <v>4.3411745591361841</v>
      </c>
      <c r="I21" s="247">
        <f>'[2]Table 1'!I21</f>
        <v>4.4727253033524317</v>
      </c>
      <c r="J21" s="247">
        <f>'[2]Table 1'!J21</f>
        <v>4.6117932329524658</v>
      </c>
      <c r="K21" s="325"/>
    </row>
    <row r="22" spans="1:11" ht="15.75">
      <c r="A22" s="46" t="s">
        <v>1449</v>
      </c>
      <c r="B22" s="51" t="s">
        <v>1450</v>
      </c>
      <c r="C22" s="34" t="s">
        <v>1451</v>
      </c>
      <c r="D22" s="247">
        <f>'[2]Table 1'!D22</f>
        <v>5.8106222910786931</v>
      </c>
      <c r="E22" s="247">
        <f>'[2]Table 1'!E22</f>
        <v>5.8245798217247611</v>
      </c>
      <c r="F22" s="247">
        <f>'[2]Table 1'!F22</f>
        <v>5.2440743208999194</v>
      </c>
      <c r="G22" s="247">
        <f>'[2]Table 1'!G22</f>
        <v>5.154698589030807</v>
      </c>
      <c r="H22" s="247">
        <f>'[2]Table 1'!H22</f>
        <v>5.2028002261291144</v>
      </c>
      <c r="I22" s="247">
        <f>'[2]Table 1'!I22</f>
        <v>5.8211662574468281</v>
      </c>
      <c r="J22" s="247">
        <f>'[2]Table 1'!J22</f>
        <v>5.6081449180057517</v>
      </c>
      <c r="K22" s="326"/>
    </row>
    <row r="23" spans="1:11" ht="15.75">
      <c r="A23" s="46" t="s">
        <v>1452</v>
      </c>
      <c r="B23" s="55" t="s">
        <v>1453</v>
      </c>
      <c r="C23" s="34" t="s">
        <v>1454</v>
      </c>
      <c r="D23" s="247">
        <f>'[2]Table 1'!D23</f>
        <v>0</v>
      </c>
      <c r="E23" s="247">
        <f>'[2]Table 1'!E23</f>
        <v>0</v>
      </c>
      <c r="F23" s="247">
        <f>'[2]Table 1'!F23</f>
        <v>0</v>
      </c>
      <c r="G23" s="247">
        <f>'[2]Table 1'!G23</f>
        <v>0</v>
      </c>
      <c r="H23" s="247">
        <f>'[2]Table 1'!H23</f>
        <v>0</v>
      </c>
      <c r="I23" s="247">
        <f>'[2]Table 1'!I23</f>
        <v>0</v>
      </c>
      <c r="J23" s="247">
        <f>'[2]Table 1'!J23</f>
        <v>0</v>
      </c>
      <c r="K23" s="326"/>
    </row>
    <row r="24" spans="1:11" ht="15.75">
      <c r="A24" s="46" t="s">
        <v>1455</v>
      </c>
      <c r="B24" s="34" t="s">
        <v>1456</v>
      </c>
      <c r="C24" s="34" t="s">
        <v>1457</v>
      </c>
      <c r="D24" s="247">
        <f>'[2]Table 1'!D24</f>
        <v>0</v>
      </c>
      <c r="E24" s="247">
        <f>'[2]Table 1'!E24</f>
        <v>1.2039896658833147</v>
      </c>
      <c r="F24" s="247">
        <f>'[2]Table 1'!F24</f>
        <v>1.2307784359492187</v>
      </c>
      <c r="G24" s="247">
        <f>'[2]Table 1'!G24</f>
        <v>1.2728955000000002</v>
      </c>
      <c r="H24" s="247">
        <f>'[2]Table 1'!H24</f>
        <v>1.3115025000000002</v>
      </c>
      <c r="I24" s="247">
        <f>'[2]Table 1'!I24</f>
        <v>0</v>
      </c>
      <c r="J24" s="247">
        <f>'[2]Table 1'!J24</f>
        <v>0</v>
      </c>
      <c r="K24" s="327"/>
    </row>
    <row r="25" spans="1:11" ht="15.75">
      <c r="A25" s="46" t="s">
        <v>1458</v>
      </c>
      <c r="B25" s="34" t="s">
        <v>1459</v>
      </c>
      <c r="C25" s="34" t="s">
        <v>1460</v>
      </c>
      <c r="D25" s="247">
        <f>'[2]Table 1'!D25</f>
        <v>0</v>
      </c>
      <c r="E25" s="247">
        <f>'[2]Table 1'!E25</f>
        <v>4.4839999999999998E-2</v>
      </c>
      <c r="F25" s="247">
        <f>'[2]Table 1'!F25</f>
        <v>0</v>
      </c>
      <c r="G25" s="247">
        <f>'[2]Table 1'!G25</f>
        <v>4.7599999999999996E-2</v>
      </c>
      <c r="H25" s="247">
        <f>'[2]Table 1'!H25</f>
        <v>0</v>
      </c>
      <c r="I25" s="247">
        <f>'[2]Table 1'!I25</f>
        <v>5.0519999999999995E-2</v>
      </c>
      <c r="J25" s="247">
        <f>'[2]Table 1'!J25</f>
        <v>0</v>
      </c>
      <c r="K25" s="53"/>
    </row>
    <row r="26" spans="1:11" ht="15.75">
      <c r="A26" s="46" t="s">
        <v>1461</v>
      </c>
      <c r="B26" s="34" t="s">
        <v>1462</v>
      </c>
      <c r="C26" s="34" t="s">
        <v>1463</v>
      </c>
      <c r="D26" s="247">
        <f>'[2]Table 1'!D26</f>
        <v>0.73872232199999999</v>
      </c>
      <c r="E26" s="247">
        <f>'[2]Table 1'!E26</f>
        <v>0.96033901859999993</v>
      </c>
      <c r="F26" s="247">
        <f>'[2]Table 1'!F26</f>
        <v>1.4234407241800004</v>
      </c>
      <c r="G26" s="247">
        <f>'[2]Table 1'!G26</f>
        <v>1.3982536110816004</v>
      </c>
      <c r="H26" s="247">
        <f>'[2]Table 1'!H26</f>
        <v>1.5660440444113926</v>
      </c>
      <c r="I26" s="247">
        <f>'[2]Table 1'!I26</f>
        <v>1.7539693297407597</v>
      </c>
      <c r="J26" s="247">
        <f>'[2]Table 1'!J26</f>
        <v>1.7535723967666839</v>
      </c>
      <c r="K26" s="53"/>
    </row>
    <row r="27" spans="1:11" ht="31.5">
      <c r="A27" s="46" t="s">
        <v>1464</v>
      </c>
      <c r="B27" s="54" t="s">
        <v>1465</v>
      </c>
      <c r="C27" s="34" t="s">
        <v>1466</v>
      </c>
      <c r="D27" s="247">
        <f>'[2]Table 1'!D27</f>
        <v>0</v>
      </c>
      <c r="E27" s="247">
        <f>'[2]Table 1'!E27</f>
        <v>0</v>
      </c>
      <c r="F27" s="247">
        <f>'[2]Table 1'!F27</f>
        <v>0</v>
      </c>
      <c r="G27" s="247">
        <f>'[2]Table 1'!G27</f>
        <v>0</v>
      </c>
      <c r="H27" s="247">
        <f>'[2]Table 1'!H27</f>
        <v>0</v>
      </c>
      <c r="I27" s="247">
        <f>'[2]Table 1'!I27</f>
        <v>0</v>
      </c>
      <c r="J27" s="247">
        <f>'[2]Table 1'!J27</f>
        <v>0</v>
      </c>
      <c r="K27" s="53"/>
    </row>
    <row r="28" spans="1:11" ht="31.5">
      <c r="A28" s="46" t="s">
        <v>1467</v>
      </c>
      <c r="B28" s="34" t="s">
        <v>1468</v>
      </c>
      <c r="C28" s="34" t="s">
        <v>1466</v>
      </c>
      <c r="D28" s="247">
        <f>'[2]Table 1'!D28</f>
        <v>5.799675E-2</v>
      </c>
      <c r="E28" s="247">
        <f>'[2]Table 1'!E28</f>
        <v>0.23256856959787559</v>
      </c>
      <c r="F28" s="247">
        <f>'[2]Table 1'!F28</f>
        <v>0.23256856959787559</v>
      </c>
      <c r="G28" s="247">
        <f>'[2]Table 1'!G28</f>
        <v>0.23256856959787559</v>
      </c>
      <c r="H28" s="247">
        <f>'[2]Table 1'!H28</f>
        <v>0.23256856959787559</v>
      </c>
      <c r="I28" s="247">
        <f>'[2]Table 1'!I28</f>
        <v>0.23256856959787559</v>
      </c>
      <c r="J28" s="247">
        <f>'[2]Table 1'!J28</f>
        <v>0.23256856959787559</v>
      </c>
      <c r="K28" s="53"/>
    </row>
    <row r="29" spans="1:11" ht="31.5">
      <c r="A29" s="46" t="s">
        <v>1469</v>
      </c>
      <c r="B29" s="34" t="s">
        <v>1470</v>
      </c>
      <c r="C29" s="34" t="s">
        <v>1471</v>
      </c>
      <c r="D29" s="247">
        <f>'[2]Table 1'!D29</f>
        <v>0</v>
      </c>
      <c r="E29" s="247">
        <f>'[2]Table 1'!E29</f>
        <v>0</v>
      </c>
      <c r="F29" s="247">
        <f>'[2]Table 1'!F29</f>
        <v>0</v>
      </c>
      <c r="G29" s="247">
        <f>'[2]Table 1'!G29</f>
        <v>0</v>
      </c>
      <c r="H29" s="247">
        <f>'[2]Table 1'!H29</f>
        <v>0</v>
      </c>
      <c r="I29" s="247">
        <f>'[2]Table 1'!I29</f>
        <v>0</v>
      </c>
      <c r="J29" s="247">
        <f>'[2]Table 1'!J29</f>
        <v>0</v>
      </c>
      <c r="K29" s="32"/>
    </row>
    <row r="30" spans="1:11" ht="31.5">
      <c r="A30" s="46" t="s">
        <v>1472</v>
      </c>
      <c r="B30" s="34" t="s">
        <v>1473</v>
      </c>
      <c r="C30" s="34" t="s">
        <v>1474</v>
      </c>
      <c r="D30" s="247">
        <f>'[2]Table 1'!D30</f>
        <v>-1.9100856947630691</v>
      </c>
      <c r="E30" s="247">
        <f>'[2]Table 1'!E30</f>
        <v>0</v>
      </c>
      <c r="F30" s="247">
        <f>'[2]Table 1'!F30</f>
        <v>0</v>
      </c>
      <c r="G30" s="247">
        <f>'[2]Table 1'!G30</f>
        <v>0</v>
      </c>
      <c r="H30" s="247">
        <f>'[2]Table 1'!H30</f>
        <v>0</v>
      </c>
      <c r="I30" s="247">
        <f>'[2]Table 1'!I30</f>
        <v>0</v>
      </c>
      <c r="J30" s="247">
        <f>'[2]Table 1'!J30</f>
        <v>0</v>
      </c>
      <c r="K30" s="32"/>
    </row>
    <row r="31" spans="1:11" ht="31.5">
      <c r="A31" s="46" t="s">
        <v>1475</v>
      </c>
      <c r="B31" s="34" t="s">
        <v>1476</v>
      </c>
      <c r="C31" s="34" t="s">
        <v>1474</v>
      </c>
      <c r="D31" s="247">
        <f>'[2]Table 1'!D31</f>
        <v>0</v>
      </c>
      <c r="E31" s="247">
        <f>'[2]Table 1'!E31</f>
        <v>0</v>
      </c>
      <c r="F31" s="247">
        <f>'[2]Table 1'!F31</f>
        <v>0</v>
      </c>
      <c r="G31" s="247">
        <f>'[2]Table 1'!G31</f>
        <v>0</v>
      </c>
      <c r="H31" s="247">
        <f>'[2]Table 1'!H31</f>
        <v>0</v>
      </c>
      <c r="I31" s="247">
        <f>'[2]Table 1'!I31</f>
        <v>0</v>
      </c>
      <c r="J31" s="247">
        <f>'[2]Table 1'!J31</f>
        <v>0</v>
      </c>
      <c r="K31" s="32"/>
    </row>
    <row r="32" spans="1:11" ht="63">
      <c r="A32" s="48" t="s">
        <v>1477</v>
      </c>
      <c r="B32" s="44"/>
      <c r="C32" s="44"/>
      <c r="D32" s="43">
        <f t="shared" ref="D32:J32" si="2">SUM(D21:D31)</f>
        <v>6.8644804511656226</v>
      </c>
      <c r="E32" s="43">
        <f t="shared" si="2"/>
        <v>12.251615851062208</v>
      </c>
      <c r="F32" s="43">
        <f t="shared" si="2"/>
        <v>12.204833723632722</v>
      </c>
      <c r="G32" s="43">
        <f t="shared" si="2"/>
        <v>12.319398677322111</v>
      </c>
      <c r="H32" s="43">
        <f t="shared" si="2"/>
        <v>12.654089899274565</v>
      </c>
      <c r="I32" s="43">
        <f t="shared" si="2"/>
        <v>12.330949460137896</v>
      </c>
      <c r="J32" s="43">
        <f t="shared" si="2"/>
        <v>12.206079117322776</v>
      </c>
      <c r="K32" s="42" t="s">
        <v>1478</v>
      </c>
    </row>
    <row r="33" spans="1:11" ht="15.75">
      <c r="A33" s="46" t="s">
        <v>1009</v>
      </c>
      <c r="B33" s="34" t="s">
        <v>1479</v>
      </c>
      <c r="C33" s="34" t="s">
        <v>1419</v>
      </c>
      <c r="D33" s="247">
        <f>'[2]Table 1'!D33</f>
        <v>21.218210269698869</v>
      </c>
      <c r="E33" s="247">
        <f>'[2]Table 1'!E33</f>
        <v>2.9157579747291433</v>
      </c>
      <c r="F33" s="247">
        <f>'[2]Table 1'!F33</f>
        <v>-4.6297972691977378</v>
      </c>
      <c r="G33" s="247">
        <f>'[2]Table 1'!G33</f>
        <v>-3.2998570465177108</v>
      </c>
      <c r="H33" s="247">
        <f>'[2]Table 1'!H33</f>
        <v>0</v>
      </c>
      <c r="I33" s="247">
        <f>'[2]Table 1'!I33</f>
        <v>0</v>
      </c>
      <c r="J33" s="247">
        <f>'[2]Table 1'!J33</f>
        <v>0</v>
      </c>
      <c r="K33" s="46"/>
    </row>
    <row r="34" spans="1:11" ht="31.5">
      <c r="A34" s="57" t="s">
        <v>1480</v>
      </c>
      <c r="B34" s="44" t="s">
        <v>1481</v>
      </c>
      <c r="C34" s="44" t="s">
        <v>1419</v>
      </c>
      <c r="D34" s="52">
        <f>D12+D20+D32+D33</f>
        <v>343.47852535339695</v>
      </c>
      <c r="E34" s="52">
        <f t="shared" ref="E34:J34" si="3">E12+E20+E32+E33</f>
        <v>335.00497226657649</v>
      </c>
      <c r="F34" s="52">
        <f t="shared" si="3"/>
        <v>341.56352087781448</v>
      </c>
      <c r="G34" s="52">
        <f t="shared" si="3"/>
        <v>357.20952176428028</v>
      </c>
      <c r="H34" s="52">
        <f t="shared" si="3"/>
        <v>364.43073293439204</v>
      </c>
      <c r="I34" s="52">
        <f t="shared" si="3"/>
        <v>372.61551072404626</v>
      </c>
      <c r="J34" s="52">
        <f t="shared" si="3"/>
        <v>382.50772936907214</v>
      </c>
      <c r="K34" s="281" t="s">
        <v>1482</v>
      </c>
    </row>
    <row r="35" spans="1:11" ht="47.25">
      <c r="A35" s="50" t="s">
        <v>1483</v>
      </c>
      <c r="B35" s="51" t="s">
        <v>1484</v>
      </c>
      <c r="C35" s="34" t="s">
        <v>1485</v>
      </c>
      <c r="D35" s="247">
        <f>'[2]Table 1'!D35</f>
        <v>0</v>
      </c>
      <c r="E35" s="247">
        <f>'[2]Table 1'!E35</f>
        <v>0</v>
      </c>
      <c r="F35" s="247">
        <f>'[2]Table 1'!F35</f>
        <v>0</v>
      </c>
      <c r="G35" s="247">
        <f>'[2]Table 1'!G35</f>
        <v>0</v>
      </c>
      <c r="H35" s="247">
        <f>'[2]Table 1'!H35</f>
        <v>0</v>
      </c>
      <c r="I35" s="247">
        <f>'[2]Table 1'!I35</f>
        <v>0</v>
      </c>
      <c r="J35" s="247">
        <f>'[2]Table 1'!J35</f>
        <v>0</v>
      </c>
      <c r="K35" s="32"/>
    </row>
    <row r="36" spans="1:11" ht="31.5">
      <c r="A36" s="50" t="s">
        <v>1486</v>
      </c>
      <c r="B36" s="34" t="s">
        <v>1487</v>
      </c>
      <c r="C36" s="34" t="s">
        <v>1485</v>
      </c>
      <c r="D36" s="247">
        <f>'[2]Table 1'!D36</f>
        <v>0</v>
      </c>
      <c r="E36" s="247">
        <f>'[2]Table 1'!E36</f>
        <v>0</v>
      </c>
      <c r="F36" s="247">
        <f>'[2]Table 1'!F36</f>
        <v>0</v>
      </c>
      <c r="G36" s="247">
        <f>'[2]Table 1'!G36</f>
        <v>0</v>
      </c>
      <c r="H36" s="247">
        <f>'[2]Table 1'!H36</f>
        <v>0</v>
      </c>
      <c r="I36" s="247">
        <f>'[2]Table 1'!I36</f>
        <v>0</v>
      </c>
      <c r="J36" s="247">
        <f>'[2]Table 1'!J36</f>
        <v>0</v>
      </c>
      <c r="K36" s="32"/>
    </row>
    <row r="37" spans="1:11" ht="31.5">
      <c r="A37" s="50" t="s">
        <v>1488</v>
      </c>
      <c r="B37" s="34" t="s">
        <v>1489</v>
      </c>
      <c r="C37" s="34" t="s">
        <v>1485</v>
      </c>
      <c r="D37" s="247">
        <f>'[2]Table 1'!D37</f>
        <v>0</v>
      </c>
      <c r="E37" s="247">
        <f>'[2]Table 1'!E37</f>
        <v>0</v>
      </c>
      <c r="F37" s="247">
        <f>'[2]Table 1'!F37</f>
        <v>0</v>
      </c>
      <c r="G37" s="247">
        <f>'[2]Table 1'!G37</f>
        <v>0</v>
      </c>
      <c r="H37" s="247">
        <f>'[2]Table 1'!H37</f>
        <v>0</v>
      </c>
      <c r="I37" s="247">
        <f>'[2]Table 1'!I37</f>
        <v>0</v>
      </c>
      <c r="J37" s="247">
        <f>'[2]Table 1'!J37</f>
        <v>0</v>
      </c>
      <c r="K37" s="36"/>
    </row>
    <row r="38" spans="1:11" ht="31.5">
      <c r="A38" s="49" t="s">
        <v>1490</v>
      </c>
      <c r="B38" s="34"/>
      <c r="C38" s="34"/>
      <c r="D38" s="247">
        <f>'[2]Table 1'!D38</f>
        <v>0</v>
      </c>
      <c r="E38" s="247">
        <f>'[2]Table 1'!E38</f>
        <v>0</v>
      </c>
      <c r="F38" s="247">
        <f>'[2]Table 1'!F38</f>
        <v>0</v>
      </c>
      <c r="G38" s="247">
        <f>'[2]Table 1'!G38</f>
        <v>0</v>
      </c>
      <c r="H38" s="247">
        <f>'[2]Table 1'!H38</f>
        <v>0</v>
      </c>
      <c r="I38" s="247">
        <f>'[2]Table 1'!I38</f>
        <v>0</v>
      </c>
      <c r="J38" s="247">
        <f>'[2]Table 1'!J38</f>
        <v>0</v>
      </c>
      <c r="K38" s="36"/>
    </row>
    <row r="39" spans="1:11" ht="31.5">
      <c r="A39" s="49" t="s">
        <v>1491</v>
      </c>
      <c r="B39" s="34"/>
      <c r="C39" s="34"/>
      <c r="D39" s="247">
        <f>'[2]Table 1'!D39</f>
        <v>0</v>
      </c>
      <c r="E39" s="247">
        <f>'[2]Table 1'!E39</f>
        <v>0</v>
      </c>
      <c r="F39" s="247">
        <f>'[2]Table 1'!F39</f>
        <v>0</v>
      </c>
      <c r="G39" s="247">
        <f>'[2]Table 1'!G39</f>
        <v>0</v>
      </c>
      <c r="H39" s="247">
        <f>'[2]Table 1'!H39</f>
        <v>0</v>
      </c>
      <c r="I39" s="247">
        <f>'[2]Table 1'!I39</f>
        <v>0</v>
      </c>
      <c r="J39" s="247">
        <f>'[2]Table 1'!J39</f>
        <v>0</v>
      </c>
      <c r="K39" s="36"/>
    </row>
    <row r="40" spans="1:11" ht="47.25">
      <c r="A40" s="48" t="s">
        <v>1492</v>
      </c>
      <c r="B40" s="44"/>
      <c r="C40" s="44"/>
      <c r="D40" s="43">
        <f t="shared" ref="D40" si="4">SUM(D35:D39)</f>
        <v>0</v>
      </c>
      <c r="E40" s="43">
        <f t="shared" ref="E40:J40" si="5">SUM(E35:E39)</f>
        <v>0</v>
      </c>
      <c r="F40" s="43">
        <f t="shared" si="5"/>
        <v>0</v>
      </c>
      <c r="G40" s="43">
        <f t="shared" si="5"/>
        <v>0</v>
      </c>
      <c r="H40" s="43">
        <f t="shared" si="5"/>
        <v>0</v>
      </c>
      <c r="I40" s="43">
        <f t="shared" si="5"/>
        <v>0</v>
      </c>
      <c r="J40" s="43">
        <f t="shared" si="5"/>
        <v>0</v>
      </c>
      <c r="K40" s="42" t="s">
        <v>1493</v>
      </c>
    </row>
    <row r="41" spans="1:11" ht="47.25">
      <c r="A41" s="41" t="s">
        <v>1494</v>
      </c>
      <c r="B41" s="47"/>
      <c r="C41" s="47"/>
      <c r="D41" s="39">
        <f>D34+D40</f>
        <v>343.47852535339695</v>
      </c>
      <c r="E41" s="39">
        <f t="shared" ref="E41:J41" si="6">E34+E40</f>
        <v>335.00497226657649</v>
      </c>
      <c r="F41" s="39">
        <f t="shared" si="6"/>
        <v>341.56352087781448</v>
      </c>
      <c r="G41" s="39">
        <f t="shared" si="6"/>
        <v>357.20952176428028</v>
      </c>
      <c r="H41" s="39">
        <f t="shared" si="6"/>
        <v>364.43073293439204</v>
      </c>
      <c r="I41" s="39">
        <f t="shared" si="6"/>
        <v>372.61551072404626</v>
      </c>
      <c r="J41" s="39">
        <f t="shared" si="6"/>
        <v>382.50772936907214</v>
      </c>
      <c r="K41" s="38" t="s">
        <v>1495</v>
      </c>
    </row>
    <row r="42" spans="1:11" ht="31.5">
      <c r="A42" s="46" t="s">
        <v>1496</v>
      </c>
      <c r="B42" s="34"/>
      <c r="C42" s="34"/>
      <c r="D42" s="247">
        <f>'[2]Table 1'!D42</f>
        <v>6.1170849438874697</v>
      </c>
      <c r="E42" s="247">
        <f>'[2]Table 1'!E42</f>
        <v>5.9569394183951996</v>
      </c>
      <c r="F42" s="247">
        <f>'[2]Table 1'!F42</f>
        <v>5.6903166272655286</v>
      </c>
      <c r="G42" s="247">
        <f>F42*G34/F34</f>
        <v>5.9509729724327745</v>
      </c>
      <c r="H42" s="247">
        <f t="shared" ref="H42:J42" si="7">G42*H34/G34</f>
        <v>6.0712755676416519</v>
      </c>
      <c r="I42" s="247">
        <f t="shared" si="7"/>
        <v>6.2076308113961618</v>
      </c>
      <c r="J42" s="247">
        <f t="shared" si="7"/>
        <v>6.3724313617935593</v>
      </c>
      <c r="K42" s="32"/>
    </row>
    <row r="43" spans="1:11" ht="31.5">
      <c r="A43" s="46" t="s">
        <v>1497</v>
      </c>
      <c r="B43" s="34"/>
      <c r="C43" s="34"/>
      <c r="D43" s="247">
        <f>'[2]Table 1'!D43</f>
        <v>0</v>
      </c>
      <c r="E43" s="247">
        <f>'[2]Table 1'!E43</f>
        <v>0</v>
      </c>
      <c r="F43" s="247">
        <f>'[2]Table 1'!F43</f>
        <v>0</v>
      </c>
      <c r="G43" s="247">
        <f>'[2]Table 1'!G43</f>
        <v>0</v>
      </c>
      <c r="H43" s="247">
        <f>'[2]Table 1'!H43</f>
        <v>0</v>
      </c>
      <c r="I43" s="247">
        <f>'[2]Table 1'!I43</f>
        <v>0</v>
      </c>
      <c r="J43" s="247">
        <f>'[2]Table 1'!J43</f>
        <v>0</v>
      </c>
      <c r="K43" s="32"/>
    </row>
    <row r="44" spans="1:11" ht="31.5">
      <c r="A44" s="45" t="s">
        <v>1498</v>
      </c>
      <c r="B44" s="34"/>
      <c r="C44" s="34"/>
      <c r="D44" s="247">
        <f>'[2]Table 1'!D44</f>
        <v>0</v>
      </c>
      <c r="E44" s="247">
        <f>'[2]Table 1'!E44</f>
        <v>0</v>
      </c>
      <c r="F44" s="247">
        <f>'[2]Table 1'!F44</f>
        <v>0</v>
      </c>
      <c r="G44" s="247">
        <f>'[2]Table 1'!G44</f>
        <v>0</v>
      </c>
      <c r="H44" s="247">
        <f>'[2]Table 1'!H44</f>
        <v>0</v>
      </c>
      <c r="I44" s="247">
        <f>'[2]Table 1'!I44</f>
        <v>0</v>
      </c>
      <c r="J44" s="247">
        <f>'[2]Table 1'!J44</f>
        <v>0</v>
      </c>
      <c r="K44" s="36"/>
    </row>
    <row r="45" spans="1:11" ht="31.5">
      <c r="A45" s="45" t="s">
        <v>1499</v>
      </c>
      <c r="B45" s="34"/>
      <c r="C45" s="34"/>
      <c r="D45" s="247">
        <f>'[2]Table 1'!D45</f>
        <v>7.5327249854999998</v>
      </c>
      <c r="E45" s="247">
        <f>'[2]Table 1'!E45</f>
        <v>0</v>
      </c>
      <c r="F45" s="247">
        <f>'[2]Table 1'!F45</f>
        <v>0</v>
      </c>
      <c r="G45" s="247">
        <f>'[2]Table 1'!G45</f>
        <v>0</v>
      </c>
      <c r="H45" s="247">
        <f>'[2]Table 1'!H45</f>
        <v>0</v>
      </c>
      <c r="I45" s="247">
        <f>'[2]Table 1'!I45</f>
        <v>0</v>
      </c>
      <c r="J45" s="247">
        <f>'[2]Table 1'!J45</f>
        <v>0</v>
      </c>
      <c r="K45" s="36"/>
    </row>
    <row r="46" spans="1:11" ht="31.5">
      <c r="A46" s="40" t="s">
        <v>1500</v>
      </c>
      <c r="B46" s="44"/>
      <c r="C46" s="44"/>
      <c r="D46" s="43">
        <f>D42+D43+D44+D45</f>
        <v>13.64980992938747</v>
      </c>
      <c r="E46" s="43">
        <f t="shared" ref="E46:J46" si="8">E42+E43+E44+E45</f>
        <v>5.9569394183951996</v>
      </c>
      <c r="F46" s="43">
        <f t="shared" si="8"/>
        <v>5.6903166272655286</v>
      </c>
      <c r="G46" s="43">
        <f t="shared" si="8"/>
        <v>5.9509729724327745</v>
      </c>
      <c r="H46" s="43">
        <f t="shared" si="8"/>
        <v>6.0712755676416519</v>
      </c>
      <c r="I46" s="43">
        <f t="shared" si="8"/>
        <v>6.2076308113961618</v>
      </c>
      <c r="J46" s="43">
        <f t="shared" si="8"/>
        <v>6.3724313617935593</v>
      </c>
      <c r="K46" s="42" t="s">
        <v>1501</v>
      </c>
    </row>
    <row r="47" spans="1:11" ht="31.5">
      <c r="A47" s="41" t="s">
        <v>1502</v>
      </c>
      <c r="B47" s="40"/>
      <c r="C47" s="40"/>
      <c r="D47" s="39">
        <f t="shared" ref="D47:J47" si="9">D41-D46</f>
        <v>329.82871542400949</v>
      </c>
      <c r="E47" s="39">
        <f t="shared" si="9"/>
        <v>329.04803284818126</v>
      </c>
      <c r="F47" s="39">
        <f t="shared" si="9"/>
        <v>335.87320425054895</v>
      </c>
      <c r="G47" s="39">
        <f t="shared" si="9"/>
        <v>351.25854879184749</v>
      </c>
      <c r="H47" s="39">
        <f t="shared" si="9"/>
        <v>358.35945736675041</v>
      </c>
      <c r="I47" s="39">
        <f t="shared" si="9"/>
        <v>366.40787991265012</v>
      </c>
      <c r="J47" s="39">
        <f t="shared" si="9"/>
        <v>376.13529800727861</v>
      </c>
      <c r="K47" s="38" t="s">
        <v>1503</v>
      </c>
    </row>
    <row r="48" spans="1:11" ht="31.5">
      <c r="A48" s="41" t="s">
        <v>1504</v>
      </c>
      <c r="B48" s="40"/>
      <c r="C48" s="40"/>
      <c r="D48" s="248">
        <f>D47</f>
        <v>329.82871542400949</v>
      </c>
      <c r="E48" s="248">
        <f t="shared" ref="E48:J48" si="10">E47</f>
        <v>329.04803284818126</v>
      </c>
      <c r="F48" s="248">
        <f t="shared" si="10"/>
        <v>335.87320425054895</v>
      </c>
      <c r="G48" s="248">
        <f t="shared" si="10"/>
        <v>351.25854879184749</v>
      </c>
      <c r="H48" s="248">
        <f t="shared" si="10"/>
        <v>358.35945736675041</v>
      </c>
      <c r="I48" s="248">
        <f t="shared" si="10"/>
        <v>366.40787991265012</v>
      </c>
      <c r="J48" s="248">
        <f t="shared" si="10"/>
        <v>376.13529800727861</v>
      </c>
      <c r="K48" s="38" t="s">
        <v>1505</v>
      </c>
    </row>
    <row r="49" spans="1:11" ht="15.75">
      <c r="A49" s="35" t="s">
        <v>1506</v>
      </c>
      <c r="B49" s="34"/>
      <c r="C49" s="34"/>
      <c r="D49" s="248">
        <f>'[2]Table 1'!D49</f>
        <v>347.94677671804845</v>
      </c>
      <c r="E49" s="248">
        <f>'[2]Table 1'!E49</f>
        <v>338.19229683504864</v>
      </c>
      <c r="F49" s="248">
        <f>'[2]Table 1'!F49</f>
        <v>341.56352087781454</v>
      </c>
      <c r="G49" s="248">
        <f>'[2]Table 1'!G49</f>
        <v>357.20952176428028</v>
      </c>
      <c r="H49" s="248">
        <f>'[2]Table 1'!H49</f>
        <v>364.4307329343921</v>
      </c>
      <c r="I49" s="248">
        <f>'[2]Table 1'!I49</f>
        <v>372.61551072404626</v>
      </c>
      <c r="J49" s="248">
        <f>'[2]Table 1'!J49</f>
        <v>382.50772936907219</v>
      </c>
      <c r="K49" s="36"/>
    </row>
    <row r="50" spans="1:11" ht="31.5">
      <c r="A50" s="35" t="s">
        <v>1507</v>
      </c>
      <c r="B50" s="34"/>
      <c r="C50" s="34"/>
      <c r="D50" s="282">
        <f t="shared" ref="D50:J50" si="11">D49-D40-D34+D43</f>
        <v>4.4682513646515076</v>
      </c>
      <c r="E50" s="282">
        <f t="shared" si="11"/>
        <v>3.1873245684721496</v>
      </c>
      <c r="F50" s="282">
        <f t="shared" si="11"/>
        <v>5.6843418860808015E-14</v>
      </c>
      <c r="G50" s="282">
        <f t="shared" si="11"/>
        <v>0</v>
      </c>
      <c r="H50" s="282">
        <f t="shared" si="11"/>
        <v>5.6843418860808015E-14</v>
      </c>
      <c r="I50" s="282">
        <f t="shared" si="11"/>
        <v>0</v>
      </c>
      <c r="J50" s="282">
        <f t="shared" si="11"/>
        <v>5.6843418860808015E-14</v>
      </c>
      <c r="K50" s="283" t="s">
        <v>1508</v>
      </c>
    </row>
    <row r="51" spans="1:11" ht="31.5">
      <c r="A51" s="35" t="s">
        <v>1509</v>
      </c>
      <c r="B51" s="34"/>
      <c r="C51" s="34"/>
      <c r="D51" s="37"/>
      <c r="E51" s="37">
        <f>E34/D34-1</f>
        <v>-2.466981910470889E-2</v>
      </c>
      <c r="F51" s="37">
        <f t="shared" ref="F51:J51" si="12">F34/E34-1</f>
        <v>1.9577466468226445E-2</v>
      </c>
      <c r="G51" s="37">
        <f t="shared" si="12"/>
        <v>4.5807002007286268E-2</v>
      </c>
      <c r="H51" s="37">
        <f t="shared" si="12"/>
        <v>2.021561781009007E-2</v>
      </c>
      <c r="I51" s="37">
        <f t="shared" si="12"/>
        <v>2.245907671877867E-2</v>
      </c>
      <c r="J51" s="37">
        <f t="shared" si="12"/>
        <v>2.6548059220089515E-2</v>
      </c>
      <c r="K51" s="36"/>
    </row>
    <row r="52" spans="1:11" ht="47.25">
      <c r="A52" s="35" t="s">
        <v>1510</v>
      </c>
      <c r="B52" s="34"/>
      <c r="C52" s="34"/>
      <c r="D52" s="33"/>
      <c r="E52" s="33">
        <f t="shared" ref="E52:J52" si="13">E49/D49-1</f>
        <v>-2.8034402200840525E-2</v>
      </c>
      <c r="F52" s="33">
        <f t="shared" si="13"/>
        <v>9.9683643723269544E-3</v>
      </c>
      <c r="G52" s="33">
        <f t="shared" si="13"/>
        <v>4.5807002007286046E-2</v>
      </c>
      <c r="H52" s="33">
        <f t="shared" si="13"/>
        <v>2.0215617810090292E-2</v>
      </c>
      <c r="I52" s="33">
        <f t="shared" si="13"/>
        <v>2.2459076718778448E-2</v>
      </c>
      <c r="J52" s="33">
        <f t="shared" si="13"/>
        <v>2.6548059220089737E-2</v>
      </c>
      <c r="K52" s="32"/>
    </row>
    <row r="53" spans="1:11">
      <c r="A53" s="31" t="s">
        <v>1511</v>
      </c>
    </row>
  </sheetData>
  <mergeCells count="1">
    <mergeCell ref="K21:K24"/>
  </mergeCells>
  <pageMargins left="0.70866141732283472" right="0.70866141732283472" top="0.74803149606299213" bottom="0.74803149606299213" header="0.31496062992125984" footer="0.31496062992125984"/>
  <pageSetup paperSize="9" scale="46"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Q123"/>
  <sheetViews>
    <sheetView showGridLines="0" topLeftCell="A97" workbookViewId="0">
      <selection activeCell="M105" sqref="K70:M105"/>
    </sheetView>
  </sheetViews>
  <sheetFormatPr defaultColWidth="8.85546875" defaultRowHeight="15"/>
  <cols>
    <col min="1" max="1" width="38.42578125" style="121" customWidth="1"/>
    <col min="2" max="4" width="12.42578125" style="121" customWidth="1"/>
    <col min="5" max="5" width="13.5703125" style="121" bestFit="1" customWidth="1"/>
    <col min="6" max="10" width="12.42578125" style="121" customWidth="1"/>
    <col min="11" max="17" width="13.5703125" style="121" bestFit="1" customWidth="1"/>
    <col min="18" max="16384" width="8.85546875" style="121"/>
  </cols>
  <sheetData>
    <row r="1" spans="1:5" ht="15.75">
      <c r="A1" s="161" t="s">
        <v>1082</v>
      </c>
      <c r="B1" s="331" t="str">
        <f>+'CDCM Forecast Data'!E3</f>
        <v>WPD South West</v>
      </c>
      <c r="C1" s="332"/>
      <c r="D1" s="332"/>
      <c r="E1" s="333"/>
    </row>
    <row r="2" spans="1:5" ht="15.75">
      <c r="A2" s="161" t="s">
        <v>1081</v>
      </c>
      <c r="B2" s="336" t="str">
        <f>+'CDCM Forecast Data'!E11</f>
        <v>2018/19</v>
      </c>
      <c r="C2" s="337"/>
      <c r="D2" s="141"/>
      <c r="E2" s="141"/>
    </row>
    <row r="3" spans="1:5">
      <c r="A3" s="163"/>
      <c r="B3" s="141"/>
      <c r="C3" s="141"/>
      <c r="D3" s="141"/>
      <c r="E3" s="141"/>
    </row>
    <row r="4" spans="1:5" ht="15.75">
      <c r="A4" s="161" t="s">
        <v>1763</v>
      </c>
      <c r="B4" s="331" t="str">
        <f>+'CDCM Forecast Data'!C11</f>
        <v>2016/17</v>
      </c>
      <c r="C4" s="333"/>
      <c r="D4" s="141"/>
      <c r="E4" s="141"/>
    </row>
    <row r="5" spans="1:5">
      <c r="A5" s="141"/>
      <c r="B5" s="162"/>
      <c r="C5" s="141"/>
      <c r="D5" s="141"/>
      <c r="E5" s="141"/>
    </row>
    <row r="6" spans="1:5" ht="15.75">
      <c r="A6" s="161" t="s">
        <v>1080</v>
      </c>
      <c r="B6" s="162"/>
      <c r="C6" s="141"/>
      <c r="D6" s="141"/>
      <c r="E6" s="141"/>
    </row>
    <row r="7" spans="1:5" ht="15.75">
      <c r="A7" s="161" t="s">
        <v>1079</v>
      </c>
      <c r="B7" s="160" t="str">
        <f>'[2]Smoothed Input Details'!B7</f>
        <v>2015/16</v>
      </c>
      <c r="C7" s="141"/>
      <c r="D7" s="141"/>
      <c r="E7" s="141"/>
    </row>
    <row r="8" spans="1:5" ht="15.75">
      <c r="A8" s="161" t="s">
        <v>1078</v>
      </c>
      <c r="B8" s="160" t="str">
        <f>'[2]Smoothed Input Details'!B8</f>
        <v>2014/15</v>
      </c>
      <c r="C8" s="141"/>
      <c r="D8" s="141"/>
      <c r="E8" s="141"/>
    </row>
    <row r="9" spans="1:5" ht="15.75">
      <c r="A9" s="161" t="s">
        <v>1760</v>
      </c>
      <c r="B9" s="160" t="str">
        <f>'[2]Smoothed Input Details'!B9</f>
        <v>2013/14</v>
      </c>
      <c r="C9" s="146" t="s">
        <v>931</v>
      </c>
      <c r="D9" s="141"/>
      <c r="E9" s="141"/>
    </row>
    <row r="10" spans="1:5" ht="18.75">
      <c r="A10" s="159"/>
      <c r="B10" s="141"/>
      <c r="C10" s="141"/>
      <c r="D10" s="141"/>
      <c r="E10" s="141"/>
    </row>
    <row r="11" spans="1:5" ht="15.75">
      <c r="A11" s="142" t="s">
        <v>1077</v>
      </c>
      <c r="B11" s="141"/>
      <c r="C11" s="141"/>
      <c r="D11" s="146" t="s">
        <v>931</v>
      </c>
      <c r="E11" s="141"/>
    </row>
    <row r="12" spans="1:5">
      <c r="A12" s="280" t="s">
        <v>1762</v>
      </c>
      <c r="B12" s="141"/>
      <c r="C12" s="141"/>
      <c r="D12" s="141"/>
      <c r="E12" s="141"/>
    </row>
    <row r="13" spans="1:5" ht="15.75" thickBot="1">
      <c r="A13" s="141"/>
      <c r="B13" s="141"/>
      <c r="C13" s="141"/>
      <c r="D13" s="141"/>
      <c r="E13" s="141"/>
    </row>
    <row r="14" spans="1:5" ht="75">
      <c r="A14" s="154"/>
      <c r="B14" s="153" t="s">
        <v>1761</v>
      </c>
      <c r="C14" s="152" t="s">
        <v>1072</v>
      </c>
      <c r="D14" s="151" t="s">
        <v>1071</v>
      </c>
      <c r="E14" s="150" t="s">
        <v>1070</v>
      </c>
    </row>
    <row r="15" spans="1:5">
      <c r="A15" s="136" t="s">
        <v>54</v>
      </c>
      <c r="B15" s="134">
        <f>'[2]Smoothed Input Details'!B15</f>
        <v>0.89727567574434008</v>
      </c>
      <c r="C15" s="74">
        <f>'[2]Smoothed Input Details'!C15</f>
        <v>0.92087385546580092</v>
      </c>
      <c r="D15" s="133">
        <f>'[2]Smoothed Input Details'!D15</f>
        <v>0.93021050789706161</v>
      </c>
      <c r="E15" s="149">
        <f>AVERAGE(B15:D15)</f>
        <v>0.9161200130357342</v>
      </c>
    </row>
    <row r="16" spans="1:5">
      <c r="A16" s="136" t="s">
        <v>55</v>
      </c>
      <c r="B16" s="134">
        <f>'[2]Smoothed Input Details'!B16</f>
        <v>0.32296179926904917</v>
      </c>
      <c r="C16" s="74">
        <f>'[2]Smoothed Input Details'!C16</f>
        <v>0.33573137379787638</v>
      </c>
      <c r="D16" s="133">
        <f>'[2]Smoothed Input Details'!D16</f>
        <v>0.36883873134256717</v>
      </c>
      <c r="E16" s="149">
        <f>AVERAGE(B16:D16)</f>
        <v>0.34251063480316429</v>
      </c>
    </row>
    <row r="17" spans="1:5">
      <c r="A17" s="136" t="s">
        <v>91</v>
      </c>
      <c r="B17" s="158">
        <f>'[2]Smoothed Input Details'!B17</f>
        <v>0</v>
      </c>
      <c r="C17" s="157">
        <f>'[2]Smoothed Input Details'!C17</f>
        <v>0</v>
      </c>
      <c r="D17" s="156">
        <f>'[2]Smoothed Input Details'!D17</f>
        <v>0</v>
      </c>
      <c r="E17" s="155"/>
    </row>
    <row r="18" spans="1:5">
      <c r="A18" s="136" t="s">
        <v>56</v>
      </c>
      <c r="B18" s="134">
        <f>'[2]Smoothed Input Details'!B18</f>
        <v>0.66240998343172774</v>
      </c>
      <c r="C18" s="74">
        <f>'[2]Smoothed Input Details'!C18</f>
        <v>0.61093354138886535</v>
      </c>
      <c r="D18" s="133">
        <f>'[2]Smoothed Input Details'!D18</f>
        <v>0.63408722091364156</v>
      </c>
      <c r="E18" s="149">
        <f>AVERAGE(B18:D18)</f>
        <v>0.63581024857807822</v>
      </c>
    </row>
    <row r="19" spans="1:5">
      <c r="A19" s="136" t="s">
        <v>57</v>
      </c>
      <c r="B19" s="134">
        <f>'[2]Smoothed Input Details'!B19</f>
        <v>0.61610362611445812</v>
      </c>
      <c r="C19" s="74">
        <f>'[2]Smoothed Input Details'!C19</f>
        <v>0.60190631290118624</v>
      </c>
      <c r="D19" s="133">
        <f>'[2]Smoothed Input Details'!D19</f>
        <v>0.54720640962566258</v>
      </c>
      <c r="E19" s="149">
        <f>AVERAGE(B19:D19)</f>
        <v>0.58840544954710228</v>
      </c>
    </row>
    <row r="20" spans="1:5">
      <c r="A20" s="136" t="s">
        <v>92</v>
      </c>
      <c r="B20" s="158">
        <f>'[2]Smoothed Input Details'!B20</f>
        <v>0</v>
      </c>
      <c r="C20" s="157">
        <f>'[2]Smoothed Input Details'!C20</f>
        <v>0</v>
      </c>
      <c r="D20" s="156">
        <f>'[2]Smoothed Input Details'!D20</f>
        <v>0</v>
      </c>
      <c r="E20" s="155"/>
    </row>
    <row r="21" spans="1:5">
      <c r="A21" s="136" t="s">
        <v>58</v>
      </c>
      <c r="B21" s="134">
        <f>'[2]Smoothed Input Details'!B21</f>
        <v>0.85769267927670201</v>
      </c>
      <c r="C21" s="74">
        <f>'[2]Smoothed Input Details'!C21</f>
        <v>0.84846005737562835</v>
      </c>
      <c r="D21" s="133">
        <f>'[2]Smoothed Input Details'!D21</f>
        <v>0.86950122479927117</v>
      </c>
      <c r="E21" s="149">
        <f t="shared" ref="E21:E33" si="0">AVERAGE(B21:D21)</f>
        <v>0.85855132048386718</v>
      </c>
    </row>
    <row r="22" spans="1:5">
      <c r="A22" s="136" t="s">
        <v>59</v>
      </c>
      <c r="B22" s="134">
        <f>'[2]Smoothed Input Details'!B22</f>
        <v>0.82193547287129343</v>
      </c>
      <c r="C22" s="74">
        <f>'[2]Smoothed Input Details'!C22</f>
        <v>0.83800405500326181</v>
      </c>
      <c r="D22" s="133">
        <f>'[2]Smoothed Input Details'!D22</f>
        <v>0.85475472383600748</v>
      </c>
      <c r="E22" s="149">
        <f t="shared" si="0"/>
        <v>0.83823141723685424</v>
      </c>
    </row>
    <row r="23" spans="1:5">
      <c r="A23" s="136" t="s">
        <v>72</v>
      </c>
      <c r="B23" s="134">
        <f>'[2]Smoothed Input Details'!B23</f>
        <v>0.7829041185752752</v>
      </c>
      <c r="C23" s="74">
        <f>'[2]Smoothed Input Details'!C23</f>
        <v>0.65214803530496201</v>
      </c>
      <c r="D23" s="133">
        <f>'[2]Smoothed Input Details'!D23</f>
        <v>0.5546101864630415</v>
      </c>
      <c r="E23" s="149">
        <f t="shared" si="0"/>
        <v>0.6632207801144262</v>
      </c>
    </row>
    <row r="24" spans="1:5">
      <c r="A24" s="136" t="s">
        <v>1178</v>
      </c>
      <c r="B24" s="134">
        <f>'[2]Smoothed Input Details'!B24</f>
        <v>0.80703454120090856</v>
      </c>
      <c r="C24" s="74">
        <f>'[2]Smoothed Input Details'!C24</f>
        <v>0.82893123736410435</v>
      </c>
      <c r="D24" s="133">
        <f>'[2]Smoothed Input Details'!D24</f>
        <v>0.84200294737659276</v>
      </c>
      <c r="E24" s="149">
        <f t="shared" ref="E24:E25" si="1">AVERAGE(B24:D24)</f>
        <v>0.82598957531386852</v>
      </c>
    </row>
    <row r="25" spans="1:5">
      <c r="A25" s="136" t="s">
        <v>1177</v>
      </c>
      <c r="B25" s="134">
        <f>'[2]Smoothed Input Details'!B25</f>
        <v>0.65310017938310305</v>
      </c>
      <c r="C25" s="74">
        <f>'[2]Smoothed Input Details'!C25</f>
        <v>0.6091186344691385</v>
      </c>
      <c r="D25" s="133">
        <f>'[2]Smoothed Input Details'!D25</f>
        <v>0.6166200009564593</v>
      </c>
      <c r="E25" s="149">
        <f t="shared" si="1"/>
        <v>0.62627960493623358</v>
      </c>
    </row>
    <row r="26" spans="1:5">
      <c r="A26" s="136" t="s">
        <v>60</v>
      </c>
      <c r="B26" s="134">
        <f>'[2]Smoothed Input Details'!B26</f>
        <v>0.81720819530006816</v>
      </c>
      <c r="C26" s="74">
        <f>'[2]Smoothed Input Details'!C26</f>
        <v>0.80062031248088283</v>
      </c>
      <c r="D26" s="133">
        <f>'[2]Smoothed Input Details'!D26</f>
        <v>0.79203517707678295</v>
      </c>
      <c r="E26" s="149">
        <f t="shared" si="0"/>
        <v>0.80328789495257791</v>
      </c>
    </row>
    <row r="27" spans="1:5">
      <c r="A27" s="136" t="s">
        <v>61</v>
      </c>
      <c r="B27" s="134">
        <f>'[2]Smoothed Input Details'!B27</f>
        <v>0.77063094144286282</v>
      </c>
      <c r="C27" s="74">
        <f>'[2]Smoothed Input Details'!C27</f>
        <v>0.77163900542720831</v>
      </c>
      <c r="D27" s="133">
        <f>'[2]Smoothed Input Details'!D27</f>
        <v>0.75518820666952902</v>
      </c>
      <c r="E27" s="149">
        <f t="shared" si="0"/>
        <v>0.76581938451320009</v>
      </c>
    </row>
    <row r="28" spans="1:5">
      <c r="A28" s="136" t="s">
        <v>73</v>
      </c>
      <c r="B28" s="134">
        <f>'[2]Smoothed Input Details'!B28</f>
        <v>0.79125042432202763</v>
      </c>
      <c r="C28" s="74">
        <f>'[2]Smoothed Input Details'!C28</f>
        <v>0.82309045908693979</v>
      </c>
      <c r="D28" s="133">
        <f>'[2]Smoothed Input Details'!D28</f>
        <v>0.78738790928143598</v>
      </c>
      <c r="E28" s="149">
        <f t="shared" si="0"/>
        <v>0.8005762642301345</v>
      </c>
    </row>
    <row r="29" spans="1:5">
      <c r="A29" s="136" t="s">
        <v>93</v>
      </c>
      <c r="B29" s="134">
        <f>'[2]Smoothed Input Details'!B29</f>
        <v>1</v>
      </c>
      <c r="C29" s="74">
        <f>'[2]Smoothed Input Details'!C29</f>
        <v>1</v>
      </c>
      <c r="D29" s="133">
        <f>'[2]Smoothed Input Details'!D29</f>
        <v>1</v>
      </c>
      <c r="E29" s="149">
        <f t="shared" ref="E29" si="2">AVERAGE(B29:D29)</f>
        <v>1</v>
      </c>
    </row>
    <row r="30" spans="1:5">
      <c r="A30" s="136" t="s">
        <v>94</v>
      </c>
      <c r="B30" s="134">
        <f>'[2]Smoothed Input Details'!B30</f>
        <v>1</v>
      </c>
      <c r="C30" s="74">
        <f>'[2]Smoothed Input Details'!C30</f>
        <v>0.95162790697674415</v>
      </c>
      <c r="D30" s="133">
        <f>'[2]Smoothed Input Details'!D30</f>
        <v>1</v>
      </c>
      <c r="E30" s="149">
        <f t="shared" si="0"/>
        <v>0.98387596899224805</v>
      </c>
    </row>
    <row r="31" spans="1:5">
      <c r="A31" s="136" t="s">
        <v>95</v>
      </c>
      <c r="B31" s="134">
        <f>'[2]Smoothed Input Details'!B31</f>
        <v>1</v>
      </c>
      <c r="C31" s="74">
        <f>'[2]Smoothed Input Details'!C31</f>
        <v>0.64222674813306169</v>
      </c>
      <c r="D31" s="133">
        <f>'[2]Smoothed Input Details'!D31</f>
        <v>0.99929078014184403</v>
      </c>
      <c r="E31" s="149">
        <f t="shared" ref="E31" si="3">AVERAGE(B31:D31)</f>
        <v>0.88050584275830202</v>
      </c>
    </row>
    <row r="32" spans="1:5">
      <c r="A32" s="136" t="s">
        <v>96</v>
      </c>
      <c r="B32" s="134">
        <f>'[2]Smoothed Input Details'!B32</f>
        <v>0</v>
      </c>
      <c r="C32" s="74">
        <f>'[2]Smoothed Input Details'!C32</f>
        <v>0</v>
      </c>
      <c r="D32" s="133">
        <f>'[2]Smoothed Input Details'!D32</f>
        <v>0</v>
      </c>
      <c r="E32" s="149">
        <f t="shared" si="0"/>
        <v>0</v>
      </c>
    </row>
    <row r="33" spans="1:5" ht="15.75" thickBot="1">
      <c r="A33" s="129" t="s">
        <v>97</v>
      </c>
      <c r="B33" s="127">
        <f>'[2]Smoothed Input Details'!B33</f>
        <v>0.98269733874605314</v>
      </c>
      <c r="C33" s="126">
        <f>'[2]Smoothed Input Details'!C33</f>
        <v>0.96426867872165123</v>
      </c>
      <c r="D33" s="125">
        <f>'[2]Smoothed Input Details'!D33</f>
        <v>0.96715763288819057</v>
      </c>
      <c r="E33" s="148">
        <f t="shared" si="0"/>
        <v>0.97137455011863161</v>
      </c>
    </row>
    <row r="35" spans="1:5">
      <c r="A35" s="143"/>
      <c r="B35" s="143"/>
      <c r="C35" s="143"/>
      <c r="D35" s="143"/>
      <c r="E35" s="143"/>
    </row>
    <row r="37" spans="1:5" ht="15.75">
      <c r="A37" s="142" t="s">
        <v>1076</v>
      </c>
      <c r="B37" s="141"/>
      <c r="C37" s="141"/>
      <c r="D37" s="141"/>
      <c r="E37" s="141"/>
    </row>
    <row r="38" spans="1:5">
      <c r="A38" s="280" t="s">
        <v>1762</v>
      </c>
      <c r="B38" s="141"/>
      <c r="C38" s="141"/>
      <c r="D38" s="141"/>
      <c r="E38" s="141"/>
    </row>
    <row r="39" spans="1:5">
      <c r="A39" s="141"/>
      <c r="B39" s="141"/>
      <c r="C39" s="141"/>
      <c r="D39" s="141"/>
      <c r="E39" s="141"/>
    </row>
    <row r="40" spans="1:5" ht="15.75" thickBot="1">
      <c r="A40" s="141"/>
      <c r="B40" s="141"/>
      <c r="C40" s="141"/>
      <c r="D40" s="141"/>
      <c r="E40" s="141"/>
    </row>
    <row r="41" spans="1:5" ht="75">
      <c r="A41" s="154"/>
      <c r="B41" s="153" t="s">
        <v>1761</v>
      </c>
      <c r="C41" s="152" t="s">
        <v>1072</v>
      </c>
      <c r="D41" s="151" t="s">
        <v>1071</v>
      </c>
      <c r="E41" s="150" t="s">
        <v>1070</v>
      </c>
    </row>
    <row r="42" spans="1:5">
      <c r="A42" s="136" t="s">
        <v>54</v>
      </c>
      <c r="B42" s="134">
        <f>'[2]Smoothed Input Details'!B42</f>
        <v>0.42817545203939983</v>
      </c>
      <c r="C42" s="74">
        <f>'[2]Smoothed Input Details'!C42</f>
        <v>0.41078784297915871</v>
      </c>
      <c r="D42" s="133">
        <f>'[2]Smoothed Input Details'!D42</f>
        <v>0.41488216694122915</v>
      </c>
      <c r="E42" s="149">
        <f t="shared" ref="E42:E60" si="4">AVERAGE(B42:D42)</f>
        <v>0.41794848731992928</v>
      </c>
    </row>
    <row r="43" spans="1:5">
      <c r="A43" s="136" t="s">
        <v>55</v>
      </c>
      <c r="B43" s="134">
        <f>'[2]Smoothed Input Details'!B43</f>
        <v>0.26158483764265861</v>
      </c>
      <c r="C43" s="74">
        <f>'[2]Smoothed Input Details'!C43</f>
        <v>0.24927031226003521</v>
      </c>
      <c r="D43" s="133">
        <f>'[2]Smoothed Input Details'!D43</f>
        <v>0.26276290669130192</v>
      </c>
      <c r="E43" s="149">
        <f t="shared" si="4"/>
        <v>0.25787268553133197</v>
      </c>
    </row>
    <row r="44" spans="1:5">
      <c r="A44" s="136" t="s">
        <v>91</v>
      </c>
      <c r="B44" s="134">
        <f>'[2]Smoothed Input Details'!B44</f>
        <v>0.14918148342187565</v>
      </c>
      <c r="C44" s="74">
        <f>'[2]Smoothed Input Details'!C44</f>
        <v>0.13787510864683999</v>
      </c>
      <c r="D44" s="133">
        <f>'[2]Smoothed Input Details'!D44</f>
        <v>0.14518903325683943</v>
      </c>
      <c r="E44" s="149">
        <f t="shared" si="4"/>
        <v>0.14408187510851836</v>
      </c>
    </row>
    <row r="45" spans="1:5">
      <c r="A45" s="136" t="s">
        <v>56</v>
      </c>
      <c r="B45" s="134">
        <f>'[2]Smoothed Input Details'!B45</f>
        <v>0.39607699089138138</v>
      </c>
      <c r="C45" s="74">
        <f>'[2]Smoothed Input Details'!C45</f>
        <v>0.3887980997811244</v>
      </c>
      <c r="D45" s="133">
        <f>'[2]Smoothed Input Details'!D45</f>
        <v>0.39017458828724094</v>
      </c>
      <c r="E45" s="149">
        <f t="shared" si="4"/>
        <v>0.39168322631991553</v>
      </c>
    </row>
    <row r="46" spans="1:5">
      <c r="A46" s="136" t="s">
        <v>57</v>
      </c>
      <c r="B46" s="134">
        <f>'[2]Smoothed Input Details'!B46</f>
        <v>0.45567525146508042</v>
      </c>
      <c r="C46" s="74">
        <f>'[2]Smoothed Input Details'!C46</f>
        <v>0.44657461514444768</v>
      </c>
      <c r="D46" s="133">
        <f>'[2]Smoothed Input Details'!D46</f>
        <v>0.38376767413029117</v>
      </c>
      <c r="E46" s="149">
        <f t="shared" si="4"/>
        <v>0.4286725135799398</v>
      </c>
    </row>
    <row r="47" spans="1:5">
      <c r="A47" s="136" t="s">
        <v>92</v>
      </c>
      <c r="B47" s="134">
        <f>'[2]Smoothed Input Details'!B47</f>
        <v>0.15271962209277989</v>
      </c>
      <c r="C47" s="74">
        <f>'[2]Smoothed Input Details'!C47</f>
        <v>0.14937449127148156</v>
      </c>
      <c r="D47" s="133">
        <f>'[2]Smoothed Input Details'!D47</f>
        <v>0.15673802292024264</v>
      </c>
      <c r="E47" s="149">
        <f t="shared" si="4"/>
        <v>0.15294404542816803</v>
      </c>
    </row>
    <row r="48" spans="1:5">
      <c r="A48" s="136" t="s">
        <v>58</v>
      </c>
      <c r="B48" s="134">
        <f>'[2]Smoothed Input Details'!B48</f>
        <v>0.59095364055262578</v>
      </c>
      <c r="C48" s="74">
        <f>'[2]Smoothed Input Details'!C48</f>
        <v>0.59477130454259375</v>
      </c>
      <c r="D48" s="133">
        <f>'[2]Smoothed Input Details'!D48</f>
        <v>0.59507957880751239</v>
      </c>
      <c r="E48" s="149">
        <f t="shared" si="4"/>
        <v>0.59360150796757727</v>
      </c>
    </row>
    <row r="49" spans="1:13">
      <c r="A49" s="136" t="s">
        <v>59</v>
      </c>
      <c r="B49" s="134">
        <f>'[2]Smoothed Input Details'!B49</f>
        <v>0.59266758794984331</v>
      </c>
      <c r="C49" s="74">
        <f>'[2]Smoothed Input Details'!C49</f>
        <v>0.60456061173571707</v>
      </c>
      <c r="D49" s="133">
        <f>'[2]Smoothed Input Details'!D49</f>
        <v>0.60304196757694351</v>
      </c>
      <c r="E49" s="149">
        <f t="shared" si="4"/>
        <v>0.60009005575416807</v>
      </c>
    </row>
    <row r="50" spans="1:13">
      <c r="A50" s="136" t="s">
        <v>72</v>
      </c>
      <c r="B50" s="134">
        <f>'[2]Smoothed Input Details'!B50</f>
        <v>0.50673947772256167</v>
      </c>
      <c r="C50" s="74">
        <f>'[2]Smoothed Input Details'!C50</f>
        <v>0.45956693354655154</v>
      </c>
      <c r="D50" s="133">
        <f>'[2]Smoothed Input Details'!D50</f>
        <v>0.39841885111829217</v>
      </c>
      <c r="E50" s="149">
        <f t="shared" si="4"/>
        <v>0.45490842079580179</v>
      </c>
    </row>
    <row r="51" spans="1:13">
      <c r="A51" s="136" t="s">
        <v>1178</v>
      </c>
      <c r="B51" s="134">
        <f>'[2]Smoothed Input Details'!B51</f>
        <v>0.39914994060981368</v>
      </c>
      <c r="C51" s="74">
        <f>'[2]Smoothed Input Details'!C51</f>
        <v>0.38261901216382821</v>
      </c>
      <c r="D51" s="133">
        <f>'[2]Smoothed Input Details'!D51</f>
        <v>0.38820971598887649</v>
      </c>
      <c r="E51" s="149">
        <f t="shared" ref="E51:E52" si="5">AVERAGE(B51:D51)</f>
        <v>0.38999288958750616</v>
      </c>
    </row>
    <row r="52" spans="1:13">
      <c r="A52" s="136" t="s">
        <v>1177</v>
      </c>
      <c r="B52" s="134">
        <f>'[2]Smoothed Input Details'!B52</f>
        <v>0.40176282338607261</v>
      </c>
      <c r="C52" s="74">
        <f>'[2]Smoothed Input Details'!C52</f>
        <v>0.39422370582287447</v>
      </c>
      <c r="D52" s="133">
        <f>'[2]Smoothed Input Details'!D52</f>
        <v>0.3831620625760439</v>
      </c>
      <c r="E52" s="149">
        <f t="shared" si="5"/>
        <v>0.39304953059499698</v>
      </c>
    </row>
    <row r="53" spans="1:13">
      <c r="A53" s="136" t="s">
        <v>60</v>
      </c>
      <c r="B53" s="134">
        <f>'[2]Smoothed Input Details'!B53</f>
        <v>0.58872974866246663</v>
      </c>
      <c r="C53" s="74">
        <f>'[2]Smoothed Input Details'!C53</f>
        <v>0.59437114350842735</v>
      </c>
      <c r="D53" s="133">
        <f>'[2]Smoothed Input Details'!D53</f>
        <v>0.57964008143666268</v>
      </c>
      <c r="E53" s="149">
        <f t="shared" si="4"/>
        <v>0.58758032453585229</v>
      </c>
    </row>
    <row r="54" spans="1:13">
      <c r="A54" s="136" t="s">
        <v>61</v>
      </c>
      <c r="B54" s="134">
        <f>'[2]Smoothed Input Details'!B54</f>
        <v>0.60536941575275505</v>
      </c>
      <c r="C54" s="74">
        <f>'[2]Smoothed Input Details'!C54</f>
        <v>0.61480517234447374</v>
      </c>
      <c r="D54" s="133">
        <f>'[2]Smoothed Input Details'!D54</f>
        <v>0.6143769395736145</v>
      </c>
      <c r="E54" s="149">
        <f t="shared" si="4"/>
        <v>0.6115171758902811</v>
      </c>
    </row>
    <row r="55" spans="1:13">
      <c r="A55" s="136" t="s">
        <v>73</v>
      </c>
      <c r="B55" s="134">
        <f>'[2]Smoothed Input Details'!B55</f>
        <v>0.71131270246632472</v>
      </c>
      <c r="C55" s="74">
        <f>'[2]Smoothed Input Details'!C55</f>
        <v>0.7304466797782575</v>
      </c>
      <c r="D55" s="133">
        <f>'[2]Smoothed Input Details'!D55</f>
        <v>0.72685645661896148</v>
      </c>
      <c r="E55" s="149">
        <f t="shared" si="4"/>
        <v>0.72287194628784801</v>
      </c>
    </row>
    <row r="56" spans="1:13">
      <c r="A56" s="136" t="s">
        <v>93</v>
      </c>
      <c r="B56" s="134">
        <f>'[2]Smoothed Input Details'!B56</f>
        <v>1</v>
      </c>
      <c r="C56" s="74">
        <f>'[2]Smoothed Input Details'!C56</f>
        <v>1</v>
      </c>
      <c r="D56" s="133">
        <f>'[2]Smoothed Input Details'!D56</f>
        <v>1</v>
      </c>
      <c r="E56" s="149">
        <f t="shared" si="4"/>
        <v>1</v>
      </c>
    </row>
    <row r="57" spans="1:13">
      <c r="A57" s="136" t="s">
        <v>94</v>
      </c>
      <c r="B57" s="134">
        <f>'[2]Smoothed Input Details'!B57</f>
        <v>0.47215814287665242</v>
      </c>
      <c r="C57" s="74">
        <f>'[2]Smoothed Input Details'!C57</f>
        <v>0.48229356482958868</v>
      </c>
      <c r="D57" s="133">
        <f>'[2]Smoothed Input Details'!D57</f>
        <v>0.47041265961703682</v>
      </c>
      <c r="E57" s="149">
        <f t="shared" si="4"/>
        <v>0.47495478910775929</v>
      </c>
    </row>
    <row r="58" spans="1:13">
      <c r="A58" s="136" t="s">
        <v>95</v>
      </c>
      <c r="B58" s="134">
        <f>'[2]Smoothed Input Details'!B58</f>
        <v>0.24519825012414881</v>
      </c>
      <c r="C58" s="74">
        <f>'[2]Smoothed Input Details'!C58</f>
        <v>0.24780814942945337</v>
      </c>
      <c r="D58" s="133">
        <f>'[2]Smoothed Input Details'!D58</f>
        <v>0.24594204969708353</v>
      </c>
      <c r="E58" s="149">
        <f t="shared" si="4"/>
        <v>0.24631614975022856</v>
      </c>
    </row>
    <row r="59" spans="1:13">
      <c r="A59" s="136" t="s">
        <v>96</v>
      </c>
      <c r="B59" s="134">
        <f>'[2]Smoothed Input Details'!B59</f>
        <v>0.51524303477250144</v>
      </c>
      <c r="C59" s="74">
        <f>'[2]Smoothed Input Details'!C59</f>
        <v>0.51524303477250144</v>
      </c>
      <c r="D59" s="133">
        <f>'[2]Smoothed Input Details'!D59</f>
        <v>0.51531174707368965</v>
      </c>
      <c r="E59" s="149">
        <f t="shared" si="4"/>
        <v>0.51526593887289751</v>
      </c>
    </row>
    <row r="60" spans="1:13" ht="15.75" thickBot="1">
      <c r="A60" s="129" t="s">
        <v>97</v>
      </c>
      <c r="B60" s="127">
        <f>'[2]Smoothed Input Details'!B60</f>
        <v>0.4594852598812692</v>
      </c>
      <c r="C60" s="126">
        <f>'[2]Smoothed Input Details'!C60</f>
        <v>0.45484284808833692</v>
      </c>
      <c r="D60" s="125">
        <f>'[2]Smoothed Input Details'!D60</f>
        <v>0.45215072237047932</v>
      </c>
      <c r="E60" s="148">
        <f t="shared" si="4"/>
        <v>0.45549294344669516</v>
      </c>
    </row>
    <row r="62" spans="1:13">
      <c r="A62" s="143"/>
      <c r="B62" s="143"/>
      <c r="C62" s="143"/>
      <c r="D62" s="143"/>
      <c r="E62" s="143"/>
    </row>
    <row r="64" spans="1:13" ht="15.75">
      <c r="A64" s="142" t="s">
        <v>1075</v>
      </c>
      <c r="B64" s="141"/>
      <c r="C64" s="141"/>
      <c r="D64" s="141"/>
      <c r="E64" s="141"/>
      <c r="F64" s="141"/>
      <c r="G64" s="141"/>
      <c r="H64" s="141"/>
      <c r="I64" s="141"/>
      <c r="J64" s="141"/>
      <c r="K64" s="141"/>
      <c r="L64" s="141"/>
      <c r="M64" s="141"/>
    </row>
    <row r="65" spans="1:13">
      <c r="A65" s="280" t="s">
        <v>1762</v>
      </c>
      <c r="B65" s="141"/>
      <c r="C65" s="141"/>
      <c r="D65" s="141"/>
      <c r="E65" s="141"/>
      <c r="F65" s="141"/>
      <c r="G65" s="141"/>
      <c r="H65" s="141"/>
      <c r="I65" s="141"/>
      <c r="J65" s="141"/>
      <c r="K65" s="141"/>
      <c r="L65" s="141"/>
      <c r="M65" s="141"/>
    </row>
    <row r="66" spans="1:13">
      <c r="A66" s="141"/>
      <c r="B66" s="141"/>
      <c r="C66" s="141"/>
      <c r="D66" s="141"/>
      <c r="E66" s="141"/>
      <c r="F66" s="141"/>
      <c r="G66" s="141"/>
      <c r="H66" s="141"/>
      <c r="I66" s="141"/>
      <c r="J66" s="141"/>
      <c r="K66" s="141"/>
      <c r="L66" s="141"/>
      <c r="M66" s="141"/>
    </row>
    <row r="67" spans="1:13" ht="15.75" thickBot="1">
      <c r="A67" s="141"/>
      <c r="B67" s="141"/>
      <c r="C67" s="141"/>
      <c r="D67" s="141"/>
      <c r="E67" s="141"/>
      <c r="F67" s="141"/>
      <c r="G67" s="141"/>
      <c r="H67" s="141"/>
      <c r="I67" s="141"/>
      <c r="J67" s="141"/>
      <c r="K67" s="141"/>
      <c r="L67" s="141"/>
      <c r="M67" s="141"/>
    </row>
    <row r="68" spans="1:13" ht="30" customHeight="1">
      <c r="A68" s="338"/>
      <c r="B68" s="328" t="s">
        <v>1761</v>
      </c>
      <c r="C68" s="329"/>
      <c r="D68" s="330"/>
      <c r="E68" s="328" t="s">
        <v>1072</v>
      </c>
      <c r="F68" s="334"/>
      <c r="G68" s="335"/>
      <c r="H68" s="328" t="s">
        <v>1071</v>
      </c>
      <c r="I68" s="334"/>
      <c r="J68" s="334"/>
      <c r="K68" s="328" t="s">
        <v>1070</v>
      </c>
      <c r="L68" s="334"/>
      <c r="M68" s="335"/>
    </row>
    <row r="69" spans="1:13">
      <c r="A69" s="339"/>
      <c r="B69" s="139" t="s">
        <v>195</v>
      </c>
      <c r="C69" s="138" t="s">
        <v>196</v>
      </c>
      <c r="D69" s="137" t="s">
        <v>197</v>
      </c>
      <c r="E69" s="139" t="s">
        <v>195</v>
      </c>
      <c r="F69" s="138" t="s">
        <v>196</v>
      </c>
      <c r="G69" s="137" t="s">
        <v>197</v>
      </c>
      <c r="H69" s="139" t="s">
        <v>195</v>
      </c>
      <c r="I69" s="138" t="s">
        <v>196</v>
      </c>
      <c r="J69" s="140" t="s">
        <v>197</v>
      </c>
      <c r="K69" s="139" t="s">
        <v>195</v>
      </c>
      <c r="L69" s="138" t="s">
        <v>196</v>
      </c>
      <c r="M69" s="137" t="s">
        <v>197</v>
      </c>
    </row>
    <row r="70" spans="1:13">
      <c r="A70" s="147" t="s">
        <v>54</v>
      </c>
      <c r="B70" s="134">
        <f>'[2]Smoothed Input Details'!B70</f>
        <v>8.8633658531293041E-2</v>
      </c>
      <c r="C70" s="74">
        <f>'[2]Smoothed Input Details'!C70</f>
        <v>0.46258757930687272</v>
      </c>
      <c r="D70" s="135">
        <f>'[2]Smoothed Input Details'!D70</f>
        <v>0.44877876216183421</v>
      </c>
      <c r="E70" s="134">
        <f>'[2]Smoothed Input Details'!E70</f>
        <v>8.8651284973157871E-2</v>
      </c>
      <c r="F70" s="74">
        <f>'[2]Smoothed Input Details'!F70</f>
        <v>0.46256632781351531</v>
      </c>
      <c r="G70" s="135">
        <f>'[2]Smoothed Input Details'!G70</f>
        <v>0.44878238721332686</v>
      </c>
      <c r="H70" s="134">
        <f>'[2]Smoothed Input Details'!H70</f>
        <v>8.8935657434831242E-2</v>
      </c>
      <c r="I70" s="74">
        <f>'[2]Smoothed Input Details'!I70</f>
        <v>0.46203288171424156</v>
      </c>
      <c r="J70" s="133">
        <f>'[2]Smoothed Input Details'!J70</f>
        <v>0.44903146085092721</v>
      </c>
      <c r="K70" s="132">
        <f t="shared" ref="K70:M78" si="6">AVERAGE(B70,E70,H70)</f>
        <v>8.8740200313094042E-2</v>
      </c>
      <c r="L70" s="131">
        <f t="shared" si="6"/>
        <v>0.46239559627820986</v>
      </c>
      <c r="M70" s="130">
        <f t="shared" si="6"/>
        <v>0.44886420340869609</v>
      </c>
    </row>
    <row r="71" spans="1:13">
      <c r="A71" s="147" t="s">
        <v>55</v>
      </c>
      <c r="B71" s="134">
        <f>'[2]Smoothed Input Details'!B71</f>
        <v>0.10719932764583059</v>
      </c>
      <c r="C71" s="74">
        <f>'[2]Smoothed Input Details'!C71</f>
        <v>0.53514901431178241</v>
      </c>
      <c r="D71" s="135">
        <f>'[2]Smoothed Input Details'!D71</f>
        <v>0.35765165804238702</v>
      </c>
      <c r="E71" s="134">
        <f>'[2]Smoothed Input Details'!E71</f>
        <v>0.10711653937170963</v>
      </c>
      <c r="F71" s="74">
        <f>'[2]Smoothed Input Details'!F71</f>
        <v>0.54029557584290355</v>
      </c>
      <c r="G71" s="135">
        <f>'[2]Smoothed Input Details'!G71</f>
        <v>0.35258788478538688</v>
      </c>
      <c r="H71" s="134">
        <f>'[2]Smoothed Input Details'!H71</f>
        <v>0.1082316902049959</v>
      </c>
      <c r="I71" s="74">
        <f>'[2]Smoothed Input Details'!I71</f>
        <v>0.54242522160109119</v>
      </c>
      <c r="J71" s="133">
        <f>'[2]Smoothed Input Details'!J71</f>
        <v>0.34934308819391297</v>
      </c>
      <c r="K71" s="132">
        <f t="shared" ref="K71:K72" si="7">AVERAGE(B71,E71,H71)</f>
        <v>0.10751585240751205</v>
      </c>
      <c r="L71" s="131">
        <f t="shared" ref="L71:L72" si="8">AVERAGE(C71,F71,I71)</f>
        <v>0.53928993725192576</v>
      </c>
      <c r="M71" s="130">
        <f t="shared" ref="M71:M72" si="9">AVERAGE(D71,G71,J71)</f>
        <v>0.35319421034056231</v>
      </c>
    </row>
    <row r="72" spans="1:13">
      <c r="A72" s="147" t="s">
        <v>91</v>
      </c>
      <c r="B72" s="134">
        <f>'[2]Smoothed Input Details'!B72</f>
        <v>1.3327927989874372E-3</v>
      </c>
      <c r="C72" s="74">
        <f>'[2]Smoothed Input Details'!C72</f>
        <v>0.10944470229651758</v>
      </c>
      <c r="D72" s="135">
        <f>'[2]Smoothed Input Details'!D72</f>
        <v>0.88922250490449495</v>
      </c>
      <c r="E72" s="134">
        <f>'[2]Smoothed Input Details'!E72</f>
        <v>1.3182436984820142E-3</v>
      </c>
      <c r="F72" s="74">
        <f>'[2]Smoothed Input Details'!F72</f>
        <v>0.10774520854012629</v>
      </c>
      <c r="G72" s="135">
        <f>'[2]Smoothed Input Details'!G72</f>
        <v>0.89093654776139175</v>
      </c>
      <c r="H72" s="134">
        <f>'[2]Smoothed Input Details'!H72</f>
        <v>1.3891993544272716E-3</v>
      </c>
      <c r="I72" s="74">
        <f>'[2]Smoothed Input Details'!I72</f>
        <v>0.10892649976643355</v>
      </c>
      <c r="J72" s="133">
        <f>'[2]Smoothed Input Details'!J72</f>
        <v>0.88968430087913919</v>
      </c>
      <c r="K72" s="132">
        <f t="shared" si="7"/>
        <v>1.3467452839655742E-3</v>
      </c>
      <c r="L72" s="131">
        <f t="shared" si="8"/>
        <v>0.10870547020102579</v>
      </c>
      <c r="M72" s="130">
        <f t="shared" si="9"/>
        <v>0.88994778451500867</v>
      </c>
    </row>
    <row r="73" spans="1:13">
      <c r="A73" s="147" t="s">
        <v>56</v>
      </c>
      <c r="B73" s="134">
        <f>'[2]Smoothed Input Details'!B73</f>
        <v>6.231796659933253E-2</v>
      </c>
      <c r="C73" s="74">
        <f>'[2]Smoothed Input Details'!C73</f>
        <v>0.57097011493050587</v>
      </c>
      <c r="D73" s="135">
        <f>'[2]Smoothed Input Details'!D73</f>
        <v>0.36671191847016166</v>
      </c>
      <c r="E73" s="134">
        <f>'[2]Smoothed Input Details'!E73</f>
        <v>6.2507991660096587E-2</v>
      </c>
      <c r="F73" s="74">
        <f>'[2]Smoothed Input Details'!F73</f>
        <v>0.56375385971998759</v>
      </c>
      <c r="G73" s="135">
        <f>'[2]Smoothed Input Details'!G73</f>
        <v>0.37373814861991589</v>
      </c>
      <c r="H73" s="134">
        <f>'[2]Smoothed Input Details'!H73</f>
        <v>6.3034181392934568E-2</v>
      </c>
      <c r="I73" s="74">
        <f>'[2]Smoothed Input Details'!I73</f>
        <v>0.56316487055218734</v>
      </c>
      <c r="J73" s="133">
        <f>'[2]Smoothed Input Details'!J73</f>
        <v>0.37380094805487812</v>
      </c>
      <c r="K73" s="132">
        <f t="shared" si="6"/>
        <v>6.26200465507879E-2</v>
      </c>
      <c r="L73" s="131">
        <f t="shared" si="6"/>
        <v>0.56596294840089356</v>
      </c>
      <c r="M73" s="130">
        <f t="shared" si="6"/>
        <v>0.37141700504831854</v>
      </c>
    </row>
    <row r="74" spans="1:13">
      <c r="A74" s="147" t="s">
        <v>57</v>
      </c>
      <c r="B74" s="134">
        <f>'[2]Smoothed Input Details'!B74</f>
        <v>7.9765198610142765E-2</v>
      </c>
      <c r="C74" s="74">
        <f>'[2]Smoothed Input Details'!C74</f>
        <v>0.63232996792236296</v>
      </c>
      <c r="D74" s="135">
        <f>'[2]Smoothed Input Details'!D74</f>
        <v>0.28790483346749424</v>
      </c>
      <c r="E74" s="134">
        <f>'[2]Smoothed Input Details'!E74</f>
        <v>8.0848326562576553E-2</v>
      </c>
      <c r="F74" s="74">
        <f>'[2]Smoothed Input Details'!F74</f>
        <v>0.63175018687539986</v>
      </c>
      <c r="G74" s="135">
        <f>'[2]Smoothed Input Details'!G74</f>
        <v>0.28740148656202363</v>
      </c>
      <c r="H74" s="134">
        <f>'[2]Smoothed Input Details'!H74</f>
        <v>8.2856098450982504E-2</v>
      </c>
      <c r="I74" s="74">
        <f>'[2]Smoothed Input Details'!I74</f>
        <v>0.62790217750245303</v>
      </c>
      <c r="J74" s="133">
        <f>'[2]Smoothed Input Details'!J74</f>
        <v>0.28924172404656445</v>
      </c>
      <c r="K74" s="132">
        <f t="shared" si="6"/>
        <v>8.1156541207900612E-2</v>
      </c>
      <c r="L74" s="131">
        <f t="shared" si="6"/>
        <v>0.63066077743340532</v>
      </c>
      <c r="M74" s="130">
        <f t="shared" si="6"/>
        <v>0.28818268135869413</v>
      </c>
    </row>
    <row r="75" spans="1:13">
      <c r="A75" s="147" t="s">
        <v>92</v>
      </c>
      <c r="B75" s="134">
        <f>'[2]Smoothed Input Details'!B75</f>
        <v>1.9652341460504714E-3</v>
      </c>
      <c r="C75" s="74">
        <f>'[2]Smoothed Input Details'!C75</f>
        <v>0.11674615149038388</v>
      </c>
      <c r="D75" s="135">
        <f>'[2]Smoothed Input Details'!D75</f>
        <v>0.88128861436356565</v>
      </c>
      <c r="E75" s="134">
        <f>'[2]Smoothed Input Details'!E75</f>
        <v>2.151015160640291E-3</v>
      </c>
      <c r="F75" s="74">
        <f>'[2]Smoothed Input Details'!F75</f>
        <v>0.11716048972620575</v>
      </c>
      <c r="G75" s="135">
        <f>'[2]Smoothed Input Details'!G75</f>
        <v>0.88068849511315395</v>
      </c>
      <c r="H75" s="134">
        <f>'[2]Smoothed Input Details'!H75</f>
        <v>2.2164074740512424E-3</v>
      </c>
      <c r="I75" s="74">
        <f>'[2]Smoothed Input Details'!I75</f>
        <v>0.12017300556284732</v>
      </c>
      <c r="J75" s="133">
        <f>'[2]Smoothed Input Details'!J75</f>
        <v>0.87761058696310146</v>
      </c>
      <c r="K75" s="132">
        <f t="shared" si="6"/>
        <v>2.1108855935806684E-3</v>
      </c>
      <c r="L75" s="131">
        <f t="shared" si="6"/>
        <v>0.11802654892647897</v>
      </c>
      <c r="M75" s="130">
        <f t="shared" si="6"/>
        <v>0.87986256547994035</v>
      </c>
    </row>
    <row r="76" spans="1:13">
      <c r="A76" s="147" t="s">
        <v>58</v>
      </c>
      <c r="B76" s="134">
        <f>'[2]Smoothed Input Details'!B76</f>
        <v>8.2776429616734273E-2</v>
      </c>
      <c r="C76" s="74">
        <f>'[2]Smoothed Input Details'!C76</f>
        <v>0.62007832420743692</v>
      </c>
      <c r="D76" s="135">
        <f>'[2]Smoothed Input Details'!D76</f>
        <v>0.29714524617582877</v>
      </c>
      <c r="E76" s="134">
        <f>'[2]Smoothed Input Details'!E76</f>
        <v>8.2824488551072425E-2</v>
      </c>
      <c r="F76" s="74">
        <f>'[2]Smoothed Input Details'!F76</f>
        <v>0.62042125231763512</v>
      </c>
      <c r="G76" s="135">
        <f>'[2]Smoothed Input Details'!G76</f>
        <v>0.29675425913129244</v>
      </c>
      <c r="H76" s="134">
        <f>'[2]Smoothed Input Details'!H76</f>
        <v>8.3309825637061977E-2</v>
      </c>
      <c r="I76" s="74">
        <f>'[2]Smoothed Input Details'!I76</f>
        <v>0.62058372588951494</v>
      </c>
      <c r="J76" s="133">
        <f>'[2]Smoothed Input Details'!J76</f>
        <v>0.2961064484734231</v>
      </c>
      <c r="K76" s="132">
        <f t="shared" si="6"/>
        <v>8.2970247934956221E-2</v>
      </c>
      <c r="L76" s="131">
        <f t="shared" si="6"/>
        <v>0.62036110080486229</v>
      </c>
      <c r="M76" s="130">
        <f t="shared" si="6"/>
        <v>0.29666865126018144</v>
      </c>
    </row>
    <row r="77" spans="1:13">
      <c r="A77" s="147" t="s">
        <v>59</v>
      </c>
      <c r="B77" s="134">
        <f>'[2]Smoothed Input Details'!B77</f>
        <v>8.1348201084055438E-2</v>
      </c>
      <c r="C77" s="74">
        <f>'[2]Smoothed Input Details'!C77</f>
        <v>0.6191741980827723</v>
      </c>
      <c r="D77" s="135">
        <f>'[2]Smoothed Input Details'!D77</f>
        <v>0.29947760083317226</v>
      </c>
      <c r="E77" s="134">
        <f>'[2]Smoothed Input Details'!E77</f>
        <v>8.1635475106064559E-2</v>
      </c>
      <c r="F77" s="74">
        <f>'[2]Smoothed Input Details'!F77</f>
        <v>0.61763588702645311</v>
      </c>
      <c r="G77" s="135">
        <f>'[2]Smoothed Input Details'!G77</f>
        <v>0.30072863786748233</v>
      </c>
      <c r="H77" s="134">
        <f>'[2]Smoothed Input Details'!H77</f>
        <v>8.2682134060492921E-2</v>
      </c>
      <c r="I77" s="74">
        <f>'[2]Smoothed Input Details'!I77</f>
        <v>0.61886511474861716</v>
      </c>
      <c r="J77" s="135">
        <f>'[2]Smoothed Input Details'!J77</f>
        <v>0.29845275119088993</v>
      </c>
      <c r="K77" s="132">
        <f t="shared" si="6"/>
        <v>8.1888603416870973E-2</v>
      </c>
      <c r="L77" s="131">
        <f t="shared" si="6"/>
        <v>0.61855839995261419</v>
      </c>
      <c r="M77" s="130">
        <f t="shared" si="6"/>
        <v>0.29955299663051482</v>
      </c>
    </row>
    <row r="78" spans="1:13" ht="15.75" thickBot="1">
      <c r="A78" s="147" t="s">
        <v>72</v>
      </c>
      <c r="B78" s="127">
        <f>'[2]Smoothed Input Details'!B78</f>
        <v>8.3595484900230083E-2</v>
      </c>
      <c r="C78" s="126">
        <f>'[2]Smoothed Input Details'!C78</f>
        <v>0.63470301514386274</v>
      </c>
      <c r="D78" s="128">
        <f>'[2]Smoothed Input Details'!D78</f>
        <v>0.28170149995590721</v>
      </c>
      <c r="E78" s="127">
        <f>'[2]Smoothed Input Details'!E78</f>
        <v>8.1826561946670887E-2</v>
      </c>
      <c r="F78" s="126">
        <f>'[2]Smoothed Input Details'!F78</f>
        <v>0.63601593632632669</v>
      </c>
      <c r="G78" s="128">
        <f>'[2]Smoothed Input Details'!G78</f>
        <v>0.28215750172700244</v>
      </c>
      <c r="H78" s="127">
        <f>'[2]Smoothed Input Details'!H78</f>
        <v>8.1028622874699474E-2</v>
      </c>
      <c r="I78" s="126">
        <f>'[2]Smoothed Input Details'!I78</f>
        <v>0.64795704553544242</v>
      </c>
      <c r="J78" s="125">
        <f>'[2]Smoothed Input Details'!J78</f>
        <v>0.2710143315898581</v>
      </c>
      <c r="K78" s="124">
        <f t="shared" si="6"/>
        <v>8.215022324053349E-2</v>
      </c>
      <c r="L78" s="123">
        <f t="shared" si="6"/>
        <v>0.63955866566854391</v>
      </c>
      <c r="M78" s="122">
        <f t="shared" si="6"/>
        <v>0.27829111109092258</v>
      </c>
    </row>
    <row r="80" spans="1:13">
      <c r="A80" s="143"/>
      <c r="B80" s="143"/>
      <c r="C80" s="143"/>
      <c r="D80" s="143"/>
      <c r="E80" s="143"/>
      <c r="F80" s="143"/>
      <c r="G80" s="143"/>
      <c r="H80" s="143"/>
      <c r="I80" s="143"/>
      <c r="J80" s="143"/>
      <c r="K80" s="143"/>
      <c r="L80" s="143"/>
      <c r="M80" s="143"/>
    </row>
    <row r="82" spans="1:13" ht="15.75">
      <c r="A82" s="142" t="s">
        <v>1074</v>
      </c>
      <c r="B82" s="141"/>
      <c r="C82" s="141"/>
      <c r="D82" s="141"/>
      <c r="E82" s="141"/>
      <c r="F82" s="141"/>
      <c r="G82" s="141"/>
      <c r="H82" s="141"/>
      <c r="I82" s="141"/>
      <c r="J82" s="141"/>
      <c r="K82" s="141"/>
      <c r="L82" s="141"/>
      <c r="M82" s="141"/>
    </row>
    <row r="83" spans="1:13">
      <c r="A83" s="280" t="s">
        <v>1762</v>
      </c>
      <c r="B83" s="141"/>
      <c r="C83" s="141"/>
      <c r="D83" s="141"/>
      <c r="E83" s="141"/>
      <c r="F83" s="141"/>
      <c r="G83" s="141"/>
      <c r="H83" s="141"/>
      <c r="I83" s="141"/>
      <c r="J83" s="141"/>
      <c r="K83" s="141"/>
      <c r="L83" s="141"/>
      <c r="M83" s="141"/>
    </row>
    <row r="84" spans="1:13">
      <c r="A84" s="141"/>
      <c r="B84" s="141"/>
      <c r="C84" s="141"/>
      <c r="D84" s="146" t="s">
        <v>931</v>
      </c>
      <c r="E84" s="141"/>
      <c r="F84" s="141"/>
      <c r="G84" s="141"/>
      <c r="H84" s="141"/>
      <c r="I84" s="141"/>
      <c r="J84" s="141"/>
      <c r="K84" s="141"/>
      <c r="L84" s="141"/>
      <c r="M84" s="141"/>
    </row>
    <row r="85" spans="1:13" ht="15.75" thickBot="1">
      <c r="A85" s="141"/>
      <c r="B85" s="141"/>
      <c r="C85" s="141"/>
      <c r="D85" s="141"/>
      <c r="E85" s="141"/>
      <c r="F85" s="141"/>
      <c r="G85" s="141"/>
      <c r="H85" s="141"/>
      <c r="I85" s="141"/>
      <c r="J85" s="141"/>
      <c r="K85" s="141"/>
      <c r="L85" s="141"/>
      <c r="M85" s="141"/>
    </row>
    <row r="86" spans="1:13" ht="30" customHeight="1">
      <c r="A86" s="342"/>
      <c r="B86" s="328" t="s">
        <v>1761</v>
      </c>
      <c r="C86" s="334"/>
      <c r="D86" s="335"/>
      <c r="E86" s="328" t="s">
        <v>1072</v>
      </c>
      <c r="F86" s="334"/>
      <c r="G86" s="335"/>
      <c r="H86" s="328" t="s">
        <v>1071</v>
      </c>
      <c r="I86" s="334"/>
      <c r="J86" s="334"/>
      <c r="K86" s="328" t="s">
        <v>1070</v>
      </c>
      <c r="L86" s="334"/>
      <c r="M86" s="335"/>
    </row>
    <row r="87" spans="1:13">
      <c r="A87" s="343"/>
      <c r="B87" s="139" t="s">
        <v>195</v>
      </c>
      <c r="C87" s="138" t="s">
        <v>196</v>
      </c>
      <c r="D87" s="137" t="s">
        <v>197</v>
      </c>
      <c r="E87" s="139" t="s">
        <v>195</v>
      </c>
      <c r="F87" s="138" t="s">
        <v>196</v>
      </c>
      <c r="G87" s="137" t="s">
        <v>197</v>
      </c>
      <c r="H87" s="139" t="s">
        <v>195</v>
      </c>
      <c r="I87" s="138" t="s">
        <v>196</v>
      </c>
      <c r="J87" s="140" t="s">
        <v>197</v>
      </c>
      <c r="K87" s="139" t="s">
        <v>195</v>
      </c>
      <c r="L87" s="138" t="s">
        <v>196</v>
      </c>
      <c r="M87" s="137" t="s">
        <v>197</v>
      </c>
    </row>
    <row r="88" spans="1:13">
      <c r="A88" s="145" t="s">
        <v>55</v>
      </c>
      <c r="B88" s="134">
        <f>'[2]Smoothed Input Details'!B88</f>
        <v>0</v>
      </c>
      <c r="C88" s="74">
        <f>'[2]Smoothed Input Details'!C88</f>
        <v>2.0650013148362647E-2</v>
      </c>
      <c r="D88" s="135">
        <f>'[2]Smoothed Input Details'!D88</f>
        <v>0.97934998685163732</v>
      </c>
      <c r="E88" s="134">
        <f>'[2]Smoothed Input Details'!E88</f>
        <v>0</v>
      </c>
      <c r="F88" s="74">
        <f>'[2]Smoothed Input Details'!F88</f>
        <v>2.0668196837755004E-2</v>
      </c>
      <c r="G88" s="135">
        <f>'[2]Smoothed Input Details'!G88</f>
        <v>0.979331803162245</v>
      </c>
      <c r="H88" s="134">
        <f>'[2]Smoothed Input Details'!H88</f>
        <v>0</v>
      </c>
      <c r="I88" s="74">
        <f>'[2]Smoothed Input Details'!I88</f>
        <v>2.162457947874652E-2</v>
      </c>
      <c r="J88" s="133">
        <f>'[2]Smoothed Input Details'!J88</f>
        <v>0.97837542052125348</v>
      </c>
      <c r="K88" s="132">
        <f t="shared" ref="K88:M92" si="10">AVERAGE(B88,E88,H88)</f>
        <v>0</v>
      </c>
      <c r="L88" s="131">
        <f t="shared" si="10"/>
        <v>2.0980929821621391E-2</v>
      </c>
      <c r="M88" s="130">
        <f t="shared" si="10"/>
        <v>0.97901907017837864</v>
      </c>
    </row>
    <row r="89" spans="1:13">
      <c r="A89" s="145" t="s">
        <v>57</v>
      </c>
      <c r="B89" s="134">
        <f>'[2]Smoothed Input Details'!B89</f>
        <v>0</v>
      </c>
      <c r="C89" s="74">
        <f>'[2]Smoothed Input Details'!C89</f>
        <v>2.4996320169459102E-2</v>
      </c>
      <c r="D89" s="135">
        <f>'[2]Smoothed Input Details'!D89</f>
        <v>0.97500367983054093</v>
      </c>
      <c r="E89" s="134">
        <f>'[2]Smoothed Input Details'!E89</f>
        <v>0</v>
      </c>
      <c r="F89" s="74">
        <f>'[2]Smoothed Input Details'!F89</f>
        <v>2.615517998092344E-2</v>
      </c>
      <c r="G89" s="135">
        <f>'[2]Smoothed Input Details'!G89</f>
        <v>0.97384482001907657</v>
      </c>
      <c r="H89" s="134">
        <f>'[2]Smoothed Input Details'!H89</f>
        <v>0</v>
      </c>
      <c r="I89" s="74">
        <f>'[2]Smoothed Input Details'!I89</f>
        <v>2.818228425609156E-2</v>
      </c>
      <c r="J89" s="133">
        <f>'[2]Smoothed Input Details'!J89</f>
        <v>0.97181771574390841</v>
      </c>
      <c r="K89" s="132">
        <f t="shared" si="10"/>
        <v>0</v>
      </c>
      <c r="L89" s="131">
        <f t="shared" si="10"/>
        <v>2.6444594802158033E-2</v>
      </c>
      <c r="M89" s="130">
        <f t="shared" si="10"/>
        <v>0.97355540519784201</v>
      </c>
    </row>
    <row r="90" spans="1:13">
      <c r="A90" s="145" t="s">
        <v>58</v>
      </c>
      <c r="B90" s="134">
        <f>'[2]Smoothed Input Details'!B90</f>
        <v>0</v>
      </c>
      <c r="C90" s="74">
        <f>'[2]Smoothed Input Details'!C90</f>
        <v>0</v>
      </c>
      <c r="D90" s="135">
        <f>'[2]Smoothed Input Details'!D90</f>
        <v>1</v>
      </c>
      <c r="E90" s="134">
        <f>'[2]Smoothed Input Details'!E90</f>
        <v>0</v>
      </c>
      <c r="F90" s="74">
        <f>'[2]Smoothed Input Details'!F90</f>
        <v>0</v>
      </c>
      <c r="G90" s="135">
        <f>'[2]Smoothed Input Details'!G90</f>
        <v>1</v>
      </c>
      <c r="H90" s="134">
        <f>'[2]Smoothed Input Details'!H90</f>
        <v>0</v>
      </c>
      <c r="I90" s="74">
        <f>'[2]Smoothed Input Details'!I90</f>
        <v>0</v>
      </c>
      <c r="J90" s="133">
        <f>'[2]Smoothed Input Details'!J90</f>
        <v>1</v>
      </c>
      <c r="K90" s="132">
        <f t="shared" si="10"/>
        <v>0</v>
      </c>
      <c r="L90" s="131">
        <f t="shared" si="10"/>
        <v>0</v>
      </c>
      <c r="M90" s="130">
        <f t="shared" si="10"/>
        <v>1</v>
      </c>
    </row>
    <row r="91" spans="1:13">
      <c r="A91" s="145" t="s">
        <v>59</v>
      </c>
      <c r="B91" s="134">
        <f>'[2]Smoothed Input Details'!B91</f>
        <v>0</v>
      </c>
      <c r="C91" s="74">
        <f>'[2]Smoothed Input Details'!C91</f>
        <v>0</v>
      </c>
      <c r="D91" s="135">
        <f>'[2]Smoothed Input Details'!D91</f>
        <v>1</v>
      </c>
      <c r="E91" s="134">
        <f>'[2]Smoothed Input Details'!E91</f>
        <v>0</v>
      </c>
      <c r="F91" s="74">
        <f>'[2]Smoothed Input Details'!F91</f>
        <v>0</v>
      </c>
      <c r="G91" s="135">
        <f>'[2]Smoothed Input Details'!G91</f>
        <v>1</v>
      </c>
      <c r="H91" s="134">
        <f>'[2]Smoothed Input Details'!H91</f>
        <v>0</v>
      </c>
      <c r="I91" s="74">
        <f>'[2]Smoothed Input Details'!I91</f>
        <v>0</v>
      </c>
      <c r="J91" s="133">
        <f>'[2]Smoothed Input Details'!J91</f>
        <v>1</v>
      </c>
      <c r="K91" s="132">
        <f t="shared" si="10"/>
        <v>0</v>
      </c>
      <c r="L91" s="131">
        <f t="shared" si="10"/>
        <v>0</v>
      </c>
      <c r="M91" s="130">
        <f t="shared" si="10"/>
        <v>1</v>
      </c>
    </row>
    <row r="92" spans="1:13" ht="15.75" thickBot="1">
      <c r="A92" s="144" t="s">
        <v>72</v>
      </c>
      <c r="B92" s="127">
        <f>'[2]Smoothed Input Details'!B92</f>
        <v>0</v>
      </c>
      <c r="C92" s="126">
        <f>'[2]Smoothed Input Details'!C92</f>
        <v>0</v>
      </c>
      <c r="D92" s="128">
        <f>'[2]Smoothed Input Details'!D92</f>
        <v>1</v>
      </c>
      <c r="E92" s="127">
        <f>'[2]Smoothed Input Details'!E92</f>
        <v>0</v>
      </c>
      <c r="F92" s="126">
        <f>'[2]Smoothed Input Details'!F92</f>
        <v>0</v>
      </c>
      <c r="G92" s="128">
        <f>'[2]Smoothed Input Details'!G92</f>
        <v>1</v>
      </c>
      <c r="H92" s="127">
        <f>'[2]Smoothed Input Details'!H92</f>
        <v>0</v>
      </c>
      <c r="I92" s="126">
        <f>'[2]Smoothed Input Details'!I92</f>
        <v>0</v>
      </c>
      <c r="J92" s="125">
        <f>'[2]Smoothed Input Details'!J92</f>
        <v>1</v>
      </c>
      <c r="K92" s="124">
        <f t="shared" si="10"/>
        <v>0</v>
      </c>
      <c r="L92" s="123">
        <f t="shared" si="10"/>
        <v>0</v>
      </c>
      <c r="M92" s="122">
        <f t="shared" si="10"/>
        <v>1</v>
      </c>
    </row>
    <row r="94" spans="1:13">
      <c r="A94" s="143"/>
      <c r="B94" s="143"/>
      <c r="C94" s="143"/>
      <c r="D94" s="143"/>
      <c r="E94" s="143"/>
    </row>
    <row r="96" spans="1:13" ht="15.75">
      <c r="A96" s="142" t="s">
        <v>199</v>
      </c>
      <c r="B96" s="141"/>
      <c r="C96" s="141"/>
      <c r="D96" s="141"/>
      <c r="E96" s="141"/>
      <c r="F96" s="141"/>
      <c r="G96" s="141"/>
      <c r="H96" s="141"/>
      <c r="I96" s="141"/>
      <c r="J96" s="141"/>
      <c r="K96" s="141"/>
      <c r="L96" s="141"/>
      <c r="M96" s="141"/>
    </row>
    <row r="97" spans="1:13">
      <c r="A97" s="280" t="s">
        <v>1762</v>
      </c>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ht="15.75" thickBot="1">
      <c r="A99" s="141"/>
      <c r="B99" s="141"/>
      <c r="C99" s="141"/>
      <c r="D99" s="141"/>
      <c r="E99" s="141"/>
      <c r="F99" s="141"/>
      <c r="G99" s="141"/>
      <c r="H99" s="141"/>
      <c r="I99" s="141"/>
      <c r="J99" s="141"/>
      <c r="K99" s="141"/>
      <c r="L99" s="141"/>
      <c r="M99" s="141"/>
    </row>
    <row r="100" spans="1:13" ht="30" customHeight="1">
      <c r="A100" s="338"/>
      <c r="B100" s="328" t="s">
        <v>1761</v>
      </c>
      <c r="C100" s="329"/>
      <c r="D100" s="330"/>
      <c r="E100" s="328" t="s">
        <v>1072</v>
      </c>
      <c r="F100" s="334"/>
      <c r="G100" s="335"/>
      <c r="H100" s="328" t="s">
        <v>1071</v>
      </c>
      <c r="I100" s="334"/>
      <c r="J100" s="334"/>
      <c r="K100" s="328" t="s">
        <v>1070</v>
      </c>
      <c r="L100" s="334"/>
      <c r="M100" s="335"/>
    </row>
    <row r="101" spans="1:13">
      <c r="A101" s="339"/>
      <c r="B101" s="139" t="s">
        <v>200</v>
      </c>
      <c r="C101" s="138" t="s">
        <v>201</v>
      </c>
      <c r="D101" s="137" t="s">
        <v>197</v>
      </c>
      <c r="E101" s="139" t="s">
        <v>200</v>
      </c>
      <c r="F101" s="138" t="s">
        <v>201</v>
      </c>
      <c r="G101" s="137" t="s">
        <v>197</v>
      </c>
      <c r="H101" s="139" t="s">
        <v>200</v>
      </c>
      <c r="I101" s="138" t="s">
        <v>201</v>
      </c>
      <c r="J101" s="137" t="s">
        <v>197</v>
      </c>
      <c r="K101" s="139" t="s">
        <v>195</v>
      </c>
      <c r="L101" s="138" t="s">
        <v>196</v>
      </c>
      <c r="M101" s="137" t="s">
        <v>197</v>
      </c>
    </row>
    <row r="102" spans="1:13">
      <c r="A102" s="147" t="s">
        <v>93</v>
      </c>
      <c r="B102" s="134">
        <f>'[2]Smoothed Input Details'!B102</f>
        <v>1.7579908675799085E-2</v>
      </c>
      <c r="C102" s="74">
        <f>'[2]Smoothed Input Details'!C102</f>
        <v>0.4351598173515982</v>
      </c>
      <c r="D102" s="135">
        <f>'[2]Smoothed Input Details'!D102</f>
        <v>0.54726027397260268</v>
      </c>
      <c r="E102" s="134">
        <f>'[2]Smoothed Input Details'!E102</f>
        <v>1.7123287671232876E-2</v>
      </c>
      <c r="F102" s="74">
        <f>'[2]Smoothed Input Details'!F102</f>
        <v>0.43561643835616437</v>
      </c>
      <c r="G102" s="135">
        <f>'[2]Smoothed Input Details'!G102</f>
        <v>0.54726027397260268</v>
      </c>
      <c r="H102" s="134">
        <f>'[2]Smoothed Input Details'!H102</f>
        <v>1.7304189435336976E-2</v>
      </c>
      <c r="I102" s="74">
        <f>'[2]Smoothed Input Details'!I102</f>
        <v>0.43579234972677594</v>
      </c>
      <c r="J102" s="133">
        <f>'[2]Smoothed Input Details'!J102</f>
        <v>0.5469034608378871</v>
      </c>
      <c r="K102" s="132">
        <f t="shared" ref="K102:K105" si="11">AVERAGE(B102,E102,H102)</f>
        <v>1.7335795260789644E-2</v>
      </c>
      <c r="L102" s="131">
        <f t="shared" ref="L102:L105" si="12">AVERAGE(C102,F102,I102)</f>
        <v>0.4355228684781795</v>
      </c>
      <c r="M102" s="130">
        <f t="shared" ref="M102:M105" si="13">AVERAGE(D102,G102,J102)</f>
        <v>0.54714133626103079</v>
      </c>
    </row>
    <row r="103" spans="1:13">
      <c r="A103" s="147" t="s">
        <v>94</v>
      </c>
      <c r="B103" s="134">
        <f>'[2]Smoothed Input Details'!B103</f>
        <v>3.3534048697363594E-2</v>
      </c>
      <c r="C103" s="74">
        <f>'[2]Smoothed Input Details'!C103</f>
        <v>0.14750967957958483</v>
      </c>
      <c r="D103" s="135">
        <f>'[2]Smoothed Input Details'!D103</f>
        <v>0.81895627172305163</v>
      </c>
      <c r="E103" s="134">
        <f>'[2]Smoothed Input Details'!E103</f>
        <v>3.2029480798388264E-2</v>
      </c>
      <c r="F103" s="74">
        <f>'[2]Smoothed Input Details'!F103</f>
        <v>0.1606062570991684</v>
      </c>
      <c r="G103" s="135">
        <f>'[2]Smoothed Input Details'!G103</f>
        <v>0.80736426210244339</v>
      </c>
      <c r="H103" s="134">
        <f>'[2]Smoothed Input Details'!H103</f>
        <v>3.2978378655542866E-2</v>
      </c>
      <c r="I103" s="74">
        <f>'[2]Smoothed Input Details'!I103</f>
        <v>0.14717309505732454</v>
      </c>
      <c r="J103" s="133">
        <f>'[2]Smoothed Input Details'!J103</f>
        <v>0.81984852628713256</v>
      </c>
      <c r="K103" s="132">
        <f t="shared" si="11"/>
        <v>3.2847302717098244E-2</v>
      </c>
      <c r="L103" s="131">
        <f t="shared" si="12"/>
        <v>0.1517630105786926</v>
      </c>
      <c r="M103" s="130">
        <f t="shared" si="13"/>
        <v>0.81538968670420919</v>
      </c>
    </row>
    <row r="104" spans="1:13">
      <c r="A104" s="147" t="s">
        <v>95</v>
      </c>
      <c r="B104" s="134">
        <f>'[2]Smoothed Input Details'!B104</f>
        <v>6.0911889255264313E-2</v>
      </c>
      <c r="C104" s="74">
        <f>'[2]Smoothed Input Details'!C104</f>
        <v>0.25402918135765712</v>
      </c>
      <c r="D104" s="135">
        <f>'[2]Smoothed Input Details'!D104</f>
        <v>0.68505892938707846</v>
      </c>
      <c r="E104" s="134">
        <f>'[2]Smoothed Input Details'!E104</f>
        <v>5.8085822514630257E-2</v>
      </c>
      <c r="F104" s="74">
        <f>'[2]Smoothed Input Details'!F104</f>
        <v>0.2400809985653248</v>
      </c>
      <c r="G104" s="135">
        <f>'[2]Smoothed Input Details'!G104</f>
        <v>0.70183317892004493</v>
      </c>
      <c r="H104" s="134">
        <f>'[2]Smoothed Input Details'!H104</f>
        <v>5.8823075601084046E-2</v>
      </c>
      <c r="I104" s="74">
        <f>'[2]Smoothed Input Details'!I104</f>
        <v>0.25023435700824692</v>
      </c>
      <c r="J104" s="135">
        <f>'[2]Smoothed Input Details'!J104</f>
        <v>0.69094256739066895</v>
      </c>
      <c r="K104" s="132">
        <f t="shared" si="11"/>
        <v>5.9273595790326206E-2</v>
      </c>
      <c r="L104" s="131">
        <f t="shared" si="12"/>
        <v>0.24811484564374295</v>
      </c>
      <c r="M104" s="130">
        <f t="shared" si="13"/>
        <v>0.69261155856593071</v>
      </c>
    </row>
    <row r="105" spans="1:13" ht="15.75" thickBot="1">
      <c r="A105" s="147" t="s">
        <v>96</v>
      </c>
      <c r="B105" s="127">
        <f>'[2]Smoothed Input Details'!B105</f>
        <v>2.5313530040209685E-3</v>
      </c>
      <c r="C105" s="126">
        <f>'[2]Smoothed Input Details'!C105</f>
        <v>0.69922108417869133</v>
      </c>
      <c r="D105" s="128">
        <f>'[2]Smoothed Input Details'!D105</f>
        <v>0.29824756281728776</v>
      </c>
      <c r="E105" s="127">
        <f>'[2]Smoothed Input Details'!E105</f>
        <v>2.3787031428283856E-3</v>
      </c>
      <c r="F105" s="126">
        <f>'[2]Smoothed Input Details'!F105</f>
        <v>0.69941098550137093</v>
      </c>
      <c r="G105" s="128">
        <f>'[2]Smoothed Input Details'!G105</f>
        <v>0.29821031135580056</v>
      </c>
      <c r="H105" s="127">
        <f>'[2]Smoothed Input Details'!H105</f>
        <v>2.4378130204323954E-3</v>
      </c>
      <c r="I105" s="126">
        <f>'[2]Smoothed Input Details'!I105</f>
        <v>0.70008938044431135</v>
      </c>
      <c r="J105" s="125">
        <f>'[2]Smoothed Input Details'!J105</f>
        <v>0.29747280653525621</v>
      </c>
      <c r="K105" s="124">
        <f t="shared" si="11"/>
        <v>2.4492897224272499E-3</v>
      </c>
      <c r="L105" s="123">
        <f t="shared" si="12"/>
        <v>0.69957381670812457</v>
      </c>
      <c r="M105" s="122">
        <f t="shared" si="13"/>
        <v>0.29797689356944818</v>
      </c>
    </row>
    <row r="107" spans="1:13">
      <c r="A107" s="143"/>
      <c r="B107" s="143"/>
      <c r="C107" s="143"/>
      <c r="D107" s="143"/>
      <c r="E107" s="143"/>
      <c r="F107" s="143"/>
      <c r="G107" s="143"/>
      <c r="H107" s="143"/>
      <c r="I107" s="143"/>
      <c r="J107" s="143"/>
      <c r="K107" s="143"/>
      <c r="L107" s="143"/>
      <c r="M107" s="143"/>
    </row>
    <row r="109" spans="1:13" ht="15.75">
      <c r="A109" s="142" t="s">
        <v>1073</v>
      </c>
      <c r="B109" s="141"/>
      <c r="C109" s="141"/>
      <c r="D109" s="141"/>
      <c r="E109" s="141"/>
      <c r="F109" s="141"/>
      <c r="G109" s="141"/>
      <c r="H109" s="141"/>
      <c r="I109" s="141"/>
      <c r="J109" s="141"/>
      <c r="K109" s="141"/>
      <c r="L109" s="141"/>
      <c r="M109" s="141"/>
    </row>
    <row r="110" spans="1:13">
      <c r="A110" s="280" t="s">
        <v>1762</v>
      </c>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ht="15.75" thickBot="1">
      <c r="A112" s="141"/>
      <c r="B112" s="141"/>
      <c r="C112" s="141"/>
      <c r="D112" s="141"/>
      <c r="E112" s="141"/>
      <c r="F112" s="141"/>
      <c r="G112" s="141"/>
      <c r="H112" s="141"/>
      <c r="I112" s="141"/>
      <c r="J112" s="141"/>
      <c r="K112" s="141"/>
      <c r="L112" s="141"/>
      <c r="M112" s="141"/>
    </row>
    <row r="113" spans="1:17" ht="30.75" customHeight="1">
      <c r="A113" s="340"/>
      <c r="B113" s="328" t="s">
        <v>1761</v>
      </c>
      <c r="C113" s="329"/>
      <c r="D113" s="329"/>
      <c r="E113" s="330"/>
      <c r="F113" s="328" t="s">
        <v>1072</v>
      </c>
      <c r="G113" s="329"/>
      <c r="H113" s="329"/>
      <c r="I113" s="330"/>
      <c r="J113" s="328" t="s">
        <v>1071</v>
      </c>
      <c r="K113" s="329"/>
      <c r="L113" s="329"/>
      <c r="M113" s="330"/>
      <c r="N113" s="328" t="s">
        <v>1070</v>
      </c>
      <c r="O113" s="329"/>
      <c r="P113" s="329"/>
      <c r="Q113" s="330"/>
    </row>
    <row r="114" spans="1:17">
      <c r="A114" s="341"/>
      <c r="B114" s="139" t="s">
        <v>195</v>
      </c>
      <c r="C114" s="138" t="s">
        <v>196</v>
      </c>
      <c r="D114" s="140" t="s">
        <v>197</v>
      </c>
      <c r="E114" s="137" t="s">
        <v>200</v>
      </c>
      <c r="F114" s="139" t="s">
        <v>195</v>
      </c>
      <c r="G114" s="138" t="s">
        <v>196</v>
      </c>
      <c r="H114" s="140" t="s">
        <v>197</v>
      </c>
      <c r="I114" s="137" t="s">
        <v>200</v>
      </c>
      <c r="J114" s="139" t="s">
        <v>195</v>
      </c>
      <c r="K114" s="138" t="s">
        <v>196</v>
      </c>
      <c r="L114" s="140" t="s">
        <v>197</v>
      </c>
      <c r="M114" s="137" t="s">
        <v>200</v>
      </c>
      <c r="N114" s="139" t="s">
        <v>195</v>
      </c>
      <c r="O114" s="138" t="s">
        <v>196</v>
      </c>
      <c r="P114" s="140" t="s">
        <v>197</v>
      </c>
      <c r="Q114" s="137" t="s">
        <v>200</v>
      </c>
    </row>
    <row r="115" spans="1:17">
      <c r="A115" s="136" t="s">
        <v>22</v>
      </c>
      <c r="B115" s="134">
        <f>'[2]Smoothed Input Details'!B115</f>
        <v>1</v>
      </c>
      <c r="C115" s="74">
        <f>'[2]Smoothed Input Details'!C115</f>
        <v>0</v>
      </c>
      <c r="D115" s="133">
        <f>'[2]Smoothed Input Details'!D115</f>
        <v>0</v>
      </c>
      <c r="E115" s="135">
        <f>'[2]Smoothed Input Details'!E115</f>
        <v>1</v>
      </c>
      <c r="F115" s="134">
        <f>'[2]Smoothed Input Details'!F115</f>
        <v>1</v>
      </c>
      <c r="G115" s="74">
        <f>'[2]Smoothed Input Details'!G115</f>
        <v>0</v>
      </c>
      <c r="H115" s="133">
        <f>'[2]Smoothed Input Details'!H115</f>
        <v>0</v>
      </c>
      <c r="I115" s="135">
        <f>'[2]Smoothed Input Details'!I115</f>
        <v>0.76469449477194873</v>
      </c>
      <c r="J115" s="134">
        <f>'[2]Smoothed Input Details'!J115</f>
        <v>1</v>
      </c>
      <c r="K115" s="74">
        <f>'[2]Smoothed Input Details'!K115</f>
        <v>0</v>
      </c>
      <c r="L115" s="133">
        <f>'[2]Smoothed Input Details'!L115</f>
        <v>0</v>
      </c>
      <c r="M115" s="133">
        <f>'[2]Smoothed Input Details'!M115</f>
        <v>1</v>
      </c>
      <c r="N115" s="132">
        <f t="shared" ref="N115:N123" si="14">AVERAGE(B115,F115,J115)</f>
        <v>1</v>
      </c>
      <c r="O115" s="131">
        <f t="shared" ref="O115:O123" si="15">AVERAGE(C115,G115,K115)</f>
        <v>0</v>
      </c>
      <c r="P115" s="131">
        <f t="shared" ref="P115:P123" si="16">AVERAGE(D115,H115,L115)</f>
        <v>0</v>
      </c>
      <c r="Q115" s="131">
        <f t="shared" ref="Q115:Q123" si="17">AVERAGE(E115,I115,M115)</f>
        <v>0.92156483159064961</v>
      </c>
    </row>
    <row r="116" spans="1:17">
      <c r="A116" s="136" t="s">
        <v>23</v>
      </c>
      <c r="B116" s="134">
        <f>'[2]Smoothed Input Details'!B116</f>
        <v>0.79190059552218828</v>
      </c>
      <c r="C116" s="74">
        <f>'[2]Smoothed Input Details'!C116</f>
        <v>0.10993437873894099</v>
      </c>
      <c r="D116" s="133">
        <f>'[2]Smoothed Input Details'!D116</f>
        <v>9.8165025738870593E-2</v>
      </c>
      <c r="E116" s="135">
        <f>'[2]Smoothed Input Details'!E116</f>
        <v>0.79190059552218828</v>
      </c>
      <c r="F116" s="134">
        <f>'[2]Smoothed Input Details'!F116</f>
        <v>0.85906691228935972</v>
      </c>
      <c r="G116" s="74">
        <f>'[2]Smoothed Input Details'!G116</f>
        <v>9.12137906372784E-2</v>
      </c>
      <c r="H116" s="133">
        <f>'[2]Smoothed Input Details'!H116</f>
        <v>4.9719297073361875E-2</v>
      </c>
      <c r="I116" s="135">
        <f>'[2]Smoothed Input Details'!I116</f>
        <v>0.76133733453197272</v>
      </c>
      <c r="J116" s="134">
        <f>'[2]Smoothed Input Details'!J116</f>
        <v>0.88169055951468656</v>
      </c>
      <c r="K116" s="74">
        <f>'[2]Smoothed Input Details'!K116</f>
        <v>6.9294947263034534E-2</v>
      </c>
      <c r="L116" s="133">
        <f>'[2]Smoothed Input Details'!L116</f>
        <v>4.9014493222278924E-2</v>
      </c>
      <c r="M116" s="133">
        <f>'[2]Smoothed Input Details'!M116</f>
        <v>0.8645733459178917</v>
      </c>
      <c r="N116" s="132">
        <f t="shared" si="14"/>
        <v>0.84421935577541152</v>
      </c>
      <c r="O116" s="131">
        <f t="shared" si="15"/>
        <v>9.0147705546417975E-2</v>
      </c>
      <c r="P116" s="131">
        <f t="shared" si="16"/>
        <v>6.5632938678170452E-2</v>
      </c>
      <c r="Q116" s="131">
        <f t="shared" si="17"/>
        <v>0.8059370919906842</v>
      </c>
    </row>
    <row r="117" spans="1:17">
      <c r="A117" s="136" t="s">
        <v>24</v>
      </c>
      <c r="B117" s="134">
        <f>'[2]Smoothed Input Details'!B117</f>
        <v>0.79190059552218828</v>
      </c>
      <c r="C117" s="74">
        <f>'[2]Smoothed Input Details'!C117</f>
        <v>0.10993437873894099</v>
      </c>
      <c r="D117" s="133">
        <f>'[2]Smoothed Input Details'!D117</f>
        <v>9.8165025738870593E-2</v>
      </c>
      <c r="E117" s="135">
        <f>'[2]Smoothed Input Details'!E117</f>
        <v>0.79190059552218828</v>
      </c>
      <c r="F117" s="134">
        <f>'[2]Smoothed Input Details'!F117</f>
        <v>0.85906691228935972</v>
      </c>
      <c r="G117" s="74">
        <f>'[2]Smoothed Input Details'!G117</f>
        <v>9.12137906372784E-2</v>
      </c>
      <c r="H117" s="133">
        <f>'[2]Smoothed Input Details'!H117</f>
        <v>4.9719297073361875E-2</v>
      </c>
      <c r="I117" s="135">
        <f>'[2]Smoothed Input Details'!I117</f>
        <v>0.76133733453197272</v>
      </c>
      <c r="J117" s="134">
        <f>'[2]Smoothed Input Details'!J117</f>
        <v>0.88169055951468656</v>
      </c>
      <c r="K117" s="74">
        <f>'[2]Smoothed Input Details'!K117</f>
        <v>6.9294947263034534E-2</v>
      </c>
      <c r="L117" s="133">
        <f>'[2]Smoothed Input Details'!L117</f>
        <v>4.9014493222278924E-2</v>
      </c>
      <c r="M117" s="133">
        <f>'[2]Smoothed Input Details'!M117</f>
        <v>0.8645733459178917</v>
      </c>
      <c r="N117" s="132">
        <f t="shared" si="14"/>
        <v>0.84421935577541152</v>
      </c>
      <c r="O117" s="131">
        <f t="shared" si="15"/>
        <v>9.0147705546417975E-2</v>
      </c>
      <c r="P117" s="131">
        <f t="shared" si="16"/>
        <v>6.5632938678170452E-2</v>
      </c>
      <c r="Q117" s="131">
        <f t="shared" si="17"/>
        <v>0.8059370919906842</v>
      </c>
    </row>
    <row r="118" spans="1:17">
      <c r="A118" s="136" t="s">
        <v>25</v>
      </c>
      <c r="B118" s="134">
        <f>'[2]Smoothed Input Details'!B118</f>
        <v>0.52270053495327129</v>
      </c>
      <c r="C118" s="74">
        <f>'[2]Smoothed Input Details'!C118</f>
        <v>0.36657542081119071</v>
      </c>
      <c r="D118" s="133">
        <f>'[2]Smoothed Input Details'!D118</f>
        <v>0.11072404423553799</v>
      </c>
      <c r="E118" s="135">
        <f>'[2]Smoothed Input Details'!E118</f>
        <v>0.46980428374118849</v>
      </c>
      <c r="F118" s="134">
        <f>'[2]Smoothed Input Details'!F118</f>
        <v>0.63355191437947533</v>
      </c>
      <c r="G118" s="74">
        <f>'[2]Smoothed Input Details'!G118</f>
        <v>0.28570635468942773</v>
      </c>
      <c r="H118" s="133">
        <f>'[2]Smoothed Input Details'!H118</f>
        <v>8.0741730931096919E-2</v>
      </c>
      <c r="I118" s="135">
        <f>'[2]Smoothed Input Details'!I118</f>
        <v>0.52276997924532354</v>
      </c>
      <c r="J118" s="134">
        <f>'[2]Smoothed Input Details'!J118</f>
        <v>0.6517447426578491</v>
      </c>
      <c r="K118" s="74">
        <f>'[2]Smoothed Input Details'!K118</f>
        <v>0.27817211294647237</v>
      </c>
      <c r="L118" s="133">
        <f>'[2]Smoothed Input Details'!L118</f>
        <v>7.008314439567867E-2</v>
      </c>
      <c r="M118" s="133">
        <f>'[2]Smoothed Input Details'!M118</f>
        <v>0.61387212682859449</v>
      </c>
      <c r="N118" s="132">
        <f t="shared" si="14"/>
        <v>0.60266573066353191</v>
      </c>
      <c r="O118" s="131">
        <f t="shared" si="15"/>
        <v>0.31015129614903031</v>
      </c>
      <c r="P118" s="131">
        <f t="shared" si="16"/>
        <v>8.7182973187437854E-2</v>
      </c>
      <c r="Q118" s="131">
        <f t="shared" si="17"/>
        <v>0.53548212993836886</v>
      </c>
    </row>
    <row r="119" spans="1:17">
      <c r="A119" s="136" t="s">
        <v>26</v>
      </c>
      <c r="B119" s="134">
        <f>'[2]Smoothed Input Details'!B119</f>
        <v>0.52270053495327129</v>
      </c>
      <c r="C119" s="74">
        <f>'[2]Smoothed Input Details'!C119</f>
        <v>0.36657542081119071</v>
      </c>
      <c r="D119" s="133">
        <f>'[2]Smoothed Input Details'!D119</f>
        <v>0.11072404423553799</v>
      </c>
      <c r="E119" s="135">
        <f>'[2]Smoothed Input Details'!E119</f>
        <v>0.46980428374118849</v>
      </c>
      <c r="F119" s="134">
        <f>'[2]Smoothed Input Details'!F119</f>
        <v>0.63355191437947533</v>
      </c>
      <c r="G119" s="74">
        <f>'[2]Smoothed Input Details'!G119</f>
        <v>0.28570635468942773</v>
      </c>
      <c r="H119" s="133">
        <f>'[2]Smoothed Input Details'!H119</f>
        <v>8.0741730931096919E-2</v>
      </c>
      <c r="I119" s="135">
        <f>'[2]Smoothed Input Details'!I119</f>
        <v>0.52276997924532354</v>
      </c>
      <c r="J119" s="134">
        <f>'[2]Smoothed Input Details'!J119</f>
        <v>0.6517447426578491</v>
      </c>
      <c r="K119" s="74">
        <f>'[2]Smoothed Input Details'!K119</f>
        <v>0.27817211294647237</v>
      </c>
      <c r="L119" s="133">
        <f>'[2]Smoothed Input Details'!L119</f>
        <v>7.008314439567867E-2</v>
      </c>
      <c r="M119" s="133">
        <f>'[2]Smoothed Input Details'!M119</f>
        <v>0.61387212682859449</v>
      </c>
      <c r="N119" s="132">
        <f t="shared" si="14"/>
        <v>0.60266573066353191</v>
      </c>
      <c r="O119" s="131">
        <f t="shared" si="15"/>
        <v>0.31015129614903031</v>
      </c>
      <c r="P119" s="131">
        <f t="shared" si="16"/>
        <v>8.7182973187437854E-2</v>
      </c>
      <c r="Q119" s="131">
        <f t="shared" si="17"/>
        <v>0.53548212993836886</v>
      </c>
    </row>
    <row r="120" spans="1:17">
      <c r="A120" s="136" t="s">
        <v>31</v>
      </c>
      <c r="B120" s="134">
        <f>'[2]Smoothed Input Details'!B120</f>
        <v>0.79190059552218828</v>
      </c>
      <c r="C120" s="74">
        <f>'[2]Smoothed Input Details'!C120</f>
        <v>0.10993437873894099</v>
      </c>
      <c r="D120" s="133">
        <f>'[2]Smoothed Input Details'!D120</f>
        <v>9.8165025738870593E-2</v>
      </c>
      <c r="E120" s="135">
        <f>'[2]Smoothed Input Details'!E120</f>
        <v>0.79190059552218828</v>
      </c>
      <c r="F120" s="134">
        <f>'[2]Smoothed Input Details'!F120</f>
        <v>0.85906691228935972</v>
      </c>
      <c r="G120" s="74">
        <f>'[2]Smoothed Input Details'!G120</f>
        <v>9.12137906372784E-2</v>
      </c>
      <c r="H120" s="133">
        <f>'[2]Smoothed Input Details'!H120</f>
        <v>4.9719297073361875E-2</v>
      </c>
      <c r="I120" s="135">
        <f>'[2]Smoothed Input Details'!I120</f>
        <v>0.76133733453197272</v>
      </c>
      <c r="J120" s="134">
        <f>'[2]Smoothed Input Details'!J120</f>
        <v>0.88169055951468656</v>
      </c>
      <c r="K120" s="74">
        <f>'[2]Smoothed Input Details'!K120</f>
        <v>6.9294947263034534E-2</v>
      </c>
      <c r="L120" s="133">
        <f>'[2]Smoothed Input Details'!L120</f>
        <v>4.9014493222278924E-2</v>
      </c>
      <c r="M120" s="133">
        <f>'[2]Smoothed Input Details'!M120</f>
        <v>0.8645733459178917</v>
      </c>
      <c r="N120" s="132">
        <f t="shared" si="14"/>
        <v>0.84421935577541152</v>
      </c>
      <c r="O120" s="131">
        <f t="shared" si="15"/>
        <v>9.0147705546417975E-2</v>
      </c>
      <c r="P120" s="131">
        <f t="shared" si="16"/>
        <v>6.5632938678170452E-2</v>
      </c>
      <c r="Q120" s="131">
        <f t="shared" si="17"/>
        <v>0.8059370919906842</v>
      </c>
    </row>
    <row r="121" spans="1:17">
      <c r="A121" s="136" t="s">
        <v>27</v>
      </c>
      <c r="B121" s="134">
        <f>'[2]Smoothed Input Details'!B121</f>
        <v>0.52270053495327129</v>
      </c>
      <c r="C121" s="74">
        <f>'[2]Smoothed Input Details'!C121</f>
        <v>0.36657542081119071</v>
      </c>
      <c r="D121" s="133">
        <f>'[2]Smoothed Input Details'!D121</f>
        <v>0.11072404423553799</v>
      </c>
      <c r="E121" s="135">
        <f>'[2]Smoothed Input Details'!E121</f>
        <v>0.46980428374118849</v>
      </c>
      <c r="F121" s="134">
        <f>'[2]Smoothed Input Details'!F121</f>
        <v>0.63355191437947533</v>
      </c>
      <c r="G121" s="74">
        <f>'[2]Smoothed Input Details'!G121</f>
        <v>0.28570635468942773</v>
      </c>
      <c r="H121" s="133">
        <f>'[2]Smoothed Input Details'!H121</f>
        <v>8.0741730931096919E-2</v>
      </c>
      <c r="I121" s="135">
        <f>'[2]Smoothed Input Details'!I121</f>
        <v>0.52276997924532354</v>
      </c>
      <c r="J121" s="134">
        <f>'[2]Smoothed Input Details'!J121</f>
        <v>0.6517447426578491</v>
      </c>
      <c r="K121" s="74">
        <f>'[2]Smoothed Input Details'!K121</f>
        <v>0.27817211294647237</v>
      </c>
      <c r="L121" s="133">
        <f>'[2]Smoothed Input Details'!L121</f>
        <v>7.008314439567867E-2</v>
      </c>
      <c r="M121" s="133">
        <f>'[2]Smoothed Input Details'!M121</f>
        <v>0.61387212682859449</v>
      </c>
      <c r="N121" s="132">
        <f t="shared" si="14"/>
        <v>0.60266573066353191</v>
      </c>
      <c r="O121" s="131">
        <f t="shared" si="15"/>
        <v>0.31015129614903031</v>
      </c>
      <c r="P121" s="131">
        <f t="shared" si="16"/>
        <v>8.7182973187437854E-2</v>
      </c>
      <c r="Q121" s="131">
        <f t="shared" si="17"/>
        <v>0.53548212993836886</v>
      </c>
    </row>
    <row r="122" spans="1:17">
      <c r="A122" s="136" t="s">
        <v>28</v>
      </c>
      <c r="B122" s="134">
        <f>'[2]Smoothed Input Details'!B122</f>
        <v>0.52270053495327129</v>
      </c>
      <c r="C122" s="74">
        <f>'[2]Smoothed Input Details'!C122</f>
        <v>0.36657542081119071</v>
      </c>
      <c r="D122" s="133">
        <f>'[2]Smoothed Input Details'!D122</f>
        <v>0.11072404423553799</v>
      </c>
      <c r="E122" s="135">
        <f>'[2]Smoothed Input Details'!E122</f>
        <v>0.46980428374118849</v>
      </c>
      <c r="F122" s="134">
        <f>'[2]Smoothed Input Details'!F122</f>
        <v>0.63355191437947533</v>
      </c>
      <c r="G122" s="74">
        <f>'[2]Smoothed Input Details'!G122</f>
        <v>0.28570635468942773</v>
      </c>
      <c r="H122" s="133">
        <f>'[2]Smoothed Input Details'!H122</f>
        <v>8.0741730931096919E-2</v>
      </c>
      <c r="I122" s="135">
        <f>'[2]Smoothed Input Details'!I122</f>
        <v>0.52276997924532354</v>
      </c>
      <c r="J122" s="134">
        <f>'[2]Smoothed Input Details'!J122</f>
        <v>0.6517447426578491</v>
      </c>
      <c r="K122" s="74">
        <f>'[2]Smoothed Input Details'!K122</f>
        <v>0.27817211294647237</v>
      </c>
      <c r="L122" s="133">
        <f>'[2]Smoothed Input Details'!L122</f>
        <v>7.008314439567867E-2</v>
      </c>
      <c r="M122" s="133">
        <f>'[2]Smoothed Input Details'!M122</f>
        <v>0.61387212682859449</v>
      </c>
      <c r="N122" s="132">
        <f t="shared" si="14"/>
        <v>0.60266573066353191</v>
      </c>
      <c r="O122" s="131">
        <f t="shared" si="15"/>
        <v>0.31015129614903031</v>
      </c>
      <c r="P122" s="131">
        <f t="shared" si="16"/>
        <v>8.7182973187437854E-2</v>
      </c>
      <c r="Q122" s="131">
        <f t="shared" si="17"/>
        <v>0.53548212993836886</v>
      </c>
    </row>
    <row r="123" spans="1:17" ht="15.75" thickBot="1">
      <c r="A123" s="129" t="s">
        <v>29</v>
      </c>
      <c r="B123" s="127">
        <f>'[2]Smoothed Input Details'!B123</f>
        <v>0.52270053495327129</v>
      </c>
      <c r="C123" s="126">
        <f>'[2]Smoothed Input Details'!C123</f>
        <v>0.36657542081119071</v>
      </c>
      <c r="D123" s="125">
        <f>'[2]Smoothed Input Details'!D123</f>
        <v>0.11072404423553799</v>
      </c>
      <c r="E123" s="128">
        <f>'[2]Smoothed Input Details'!E123</f>
        <v>0.46980428374118849</v>
      </c>
      <c r="F123" s="127">
        <f>'[2]Smoothed Input Details'!F123</f>
        <v>0.63355191437947533</v>
      </c>
      <c r="G123" s="126">
        <f>'[2]Smoothed Input Details'!G123</f>
        <v>0.28570635468942773</v>
      </c>
      <c r="H123" s="125">
        <f>'[2]Smoothed Input Details'!H123</f>
        <v>8.0741730931096919E-2</v>
      </c>
      <c r="I123" s="128">
        <f>'[2]Smoothed Input Details'!I123</f>
        <v>0.52276997924532354</v>
      </c>
      <c r="J123" s="127">
        <f>'[2]Smoothed Input Details'!J123</f>
        <v>0.6517447426578491</v>
      </c>
      <c r="K123" s="126">
        <f>'[2]Smoothed Input Details'!K123</f>
        <v>0.27817211294647237</v>
      </c>
      <c r="L123" s="125">
        <f>'[2]Smoothed Input Details'!L123</f>
        <v>7.008314439567867E-2</v>
      </c>
      <c r="M123" s="125">
        <f>'[2]Smoothed Input Details'!M123</f>
        <v>0.61387212682859449</v>
      </c>
      <c r="N123" s="124">
        <f t="shared" si="14"/>
        <v>0.60266573066353191</v>
      </c>
      <c r="O123" s="123">
        <f t="shared" si="15"/>
        <v>0.31015129614903031</v>
      </c>
      <c r="P123" s="123">
        <f t="shared" si="16"/>
        <v>8.7182973187437854E-2</v>
      </c>
      <c r="Q123" s="123">
        <f t="shared" si="17"/>
        <v>0.53548212993836886</v>
      </c>
    </row>
  </sheetData>
  <mergeCells count="23">
    <mergeCell ref="A68:A69"/>
    <mergeCell ref="B68:D68"/>
    <mergeCell ref="E68:G68"/>
    <mergeCell ref="A113:A114"/>
    <mergeCell ref="A86:A87"/>
    <mergeCell ref="E86:G86"/>
    <mergeCell ref="A100:A101"/>
    <mergeCell ref="B100:D100"/>
    <mergeCell ref="E100:G100"/>
    <mergeCell ref="N113:Q113"/>
    <mergeCell ref="B1:E1"/>
    <mergeCell ref="H68:J68"/>
    <mergeCell ref="K68:M68"/>
    <mergeCell ref="B86:D86"/>
    <mergeCell ref="H86:J86"/>
    <mergeCell ref="K86:M86"/>
    <mergeCell ref="B2:C2"/>
    <mergeCell ref="B4:C4"/>
    <mergeCell ref="H100:J100"/>
    <mergeCell ref="K100:M100"/>
    <mergeCell ref="B113:E113"/>
    <mergeCell ref="F113:I113"/>
    <mergeCell ref="J113:M113"/>
  </mergeCells>
  <dataValidations count="1">
    <dataValidation type="decimal" allowBlank="1" showInputMessage="1" showErrorMessage="1" error="The coincidence factor must be between 0% and 100%." sqref="B17:E17 B20:E20">
      <formula1>0</formula1>
      <formula2>1</formula2>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1"/>
  </sheetPr>
  <dimension ref="B3:AP43"/>
  <sheetViews>
    <sheetView showGridLines="0" topLeftCell="A19" workbookViewId="0">
      <selection activeCell="C38" sqref="C38:G43"/>
    </sheetView>
  </sheetViews>
  <sheetFormatPr defaultColWidth="8.85546875" defaultRowHeight="12.75"/>
  <cols>
    <col min="1" max="1" width="3.140625" style="26" customWidth="1"/>
    <col min="2" max="2" width="46.42578125" style="26" customWidth="1"/>
    <col min="3" max="42" width="10" style="26" customWidth="1"/>
    <col min="43" max="16384" width="8.85546875" style="26"/>
  </cols>
  <sheetData>
    <row r="3" spans="2:42" ht="15.75">
      <c r="B3" s="142" t="s">
        <v>53</v>
      </c>
    </row>
    <row r="4" spans="2:42" ht="16.5" thickBot="1">
      <c r="B4" s="142"/>
    </row>
    <row r="5" spans="2:42" ht="15.75">
      <c r="B5" s="142"/>
      <c r="C5" s="344" t="str">
        <f>'CDCM Forecast Data'!$E$11</f>
        <v>2018/19</v>
      </c>
      <c r="D5" s="345"/>
      <c r="E5" s="345"/>
      <c r="F5" s="345"/>
      <c r="G5" s="345"/>
      <c r="H5" s="345"/>
      <c r="I5" s="345"/>
      <c r="J5" s="346"/>
      <c r="K5" s="344" t="str">
        <f>'CDCM Forecast Data'!$F$11</f>
        <v>2019/20</v>
      </c>
      <c r="L5" s="345"/>
      <c r="M5" s="345"/>
      <c r="N5" s="345"/>
      <c r="O5" s="345"/>
      <c r="P5" s="345"/>
      <c r="Q5" s="345"/>
      <c r="R5" s="346"/>
      <c r="S5" s="344" t="str">
        <f>'CDCM Forecast Data'!$G$11</f>
        <v>2020/21</v>
      </c>
      <c r="T5" s="345"/>
      <c r="U5" s="345"/>
      <c r="V5" s="345"/>
      <c r="W5" s="345"/>
      <c r="X5" s="345"/>
      <c r="Y5" s="345"/>
      <c r="Z5" s="346"/>
      <c r="AA5" s="344" t="str">
        <f>'CDCM Forecast Data'!$H$11</f>
        <v>2021/22</v>
      </c>
      <c r="AB5" s="345"/>
      <c r="AC5" s="345"/>
      <c r="AD5" s="345"/>
      <c r="AE5" s="345"/>
      <c r="AF5" s="345"/>
      <c r="AG5" s="345"/>
      <c r="AH5" s="346"/>
      <c r="AI5" s="344" t="str">
        <f>'CDCM Forecast Data'!$I$11</f>
        <v>2022/23</v>
      </c>
      <c r="AJ5" s="345"/>
      <c r="AK5" s="345"/>
      <c r="AL5" s="345"/>
      <c r="AM5" s="345"/>
      <c r="AN5" s="345"/>
      <c r="AO5" s="345"/>
      <c r="AP5" s="346"/>
    </row>
    <row r="6" spans="2:42" ht="38.25">
      <c r="C6" s="209" t="s">
        <v>37</v>
      </c>
      <c r="D6" s="209" t="s">
        <v>38</v>
      </c>
      <c r="E6" s="209" t="s">
        <v>39</v>
      </c>
      <c r="F6" s="209" t="s">
        <v>40</v>
      </c>
      <c r="G6" s="209" t="s">
        <v>41</v>
      </c>
      <c r="H6" s="209" t="s">
        <v>42</v>
      </c>
      <c r="I6" s="209" t="s">
        <v>43</v>
      </c>
      <c r="J6" s="209" t="s">
        <v>44</v>
      </c>
      <c r="K6" s="209" t="s">
        <v>37</v>
      </c>
      <c r="L6" s="209" t="s">
        <v>38</v>
      </c>
      <c r="M6" s="209" t="s">
        <v>39</v>
      </c>
      <c r="N6" s="209" t="s">
        <v>40</v>
      </c>
      <c r="O6" s="209" t="s">
        <v>41</v>
      </c>
      <c r="P6" s="209" t="s">
        <v>42</v>
      </c>
      <c r="Q6" s="209" t="s">
        <v>43</v>
      </c>
      <c r="R6" s="209" t="s">
        <v>44</v>
      </c>
      <c r="S6" s="209" t="s">
        <v>37</v>
      </c>
      <c r="T6" s="209" t="s">
        <v>38</v>
      </c>
      <c r="U6" s="209" t="s">
        <v>39</v>
      </c>
      <c r="V6" s="209" t="s">
        <v>40</v>
      </c>
      <c r="W6" s="209" t="s">
        <v>41</v>
      </c>
      <c r="X6" s="209" t="s">
        <v>42</v>
      </c>
      <c r="Y6" s="209" t="s">
        <v>43</v>
      </c>
      <c r="Z6" s="209" t="s">
        <v>44</v>
      </c>
      <c r="AA6" s="209" t="s">
        <v>37</v>
      </c>
      <c r="AB6" s="209" t="s">
        <v>38</v>
      </c>
      <c r="AC6" s="209" t="s">
        <v>39</v>
      </c>
      <c r="AD6" s="209" t="s">
        <v>40</v>
      </c>
      <c r="AE6" s="209" t="s">
        <v>41</v>
      </c>
      <c r="AF6" s="209" t="s">
        <v>42</v>
      </c>
      <c r="AG6" s="209" t="s">
        <v>43</v>
      </c>
      <c r="AH6" s="209" t="s">
        <v>44</v>
      </c>
      <c r="AI6" s="209" t="s">
        <v>37</v>
      </c>
      <c r="AJ6" s="209" t="s">
        <v>38</v>
      </c>
      <c r="AK6" s="209" t="s">
        <v>39</v>
      </c>
      <c r="AL6" s="209" t="s">
        <v>40</v>
      </c>
      <c r="AM6" s="209" t="s">
        <v>41</v>
      </c>
      <c r="AN6" s="209" t="s">
        <v>42</v>
      </c>
      <c r="AO6" s="209" t="s">
        <v>43</v>
      </c>
      <c r="AP6" s="209" t="s">
        <v>44</v>
      </c>
    </row>
    <row r="7" spans="2:42" ht="15">
      <c r="B7" s="285" t="s">
        <v>54</v>
      </c>
      <c r="C7" s="254">
        <f>'[2]Mat of App'!C7</f>
        <v>0.05</v>
      </c>
      <c r="D7" s="254">
        <f>'[2]Mat of App'!D7</f>
        <v>0</v>
      </c>
      <c r="E7" s="254">
        <f>'[2]Mat of App'!E7</f>
        <v>0</v>
      </c>
      <c r="F7" s="254">
        <f>'[2]Mat of App'!F7</f>
        <v>0</v>
      </c>
      <c r="G7" s="254">
        <f>'[2]Mat of App'!G7</f>
        <v>0</v>
      </c>
      <c r="H7" s="254">
        <f>'[2]Mat of App'!H7</f>
        <v>0</v>
      </c>
      <c r="I7" s="254">
        <f>'[2]Mat of App'!I7</f>
        <v>0</v>
      </c>
      <c r="J7" s="254">
        <f>'[2]Mat of App'!J7</f>
        <v>0</v>
      </c>
      <c r="K7" s="255">
        <f t="shared" ref="K7" si="0">C7</f>
        <v>0.05</v>
      </c>
      <c r="L7" s="255">
        <f t="shared" ref="L7" si="1">D7</f>
        <v>0</v>
      </c>
      <c r="M7" s="255">
        <f t="shared" ref="M7" si="2">E7</f>
        <v>0</v>
      </c>
      <c r="N7" s="255">
        <f t="shared" ref="N7" si="3">F7</f>
        <v>0</v>
      </c>
      <c r="O7" s="255">
        <f t="shared" ref="O7" si="4">G7</f>
        <v>0</v>
      </c>
      <c r="P7" s="255">
        <f t="shared" ref="P7" si="5">H7</f>
        <v>0</v>
      </c>
      <c r="Q7" s="255">
        <f t="shared" ref="Q7" si="6">I7</f>
        <v>0</v>
      </c>
      <c r="R7" s="255">
        <f t="shared" ref="R7" si="7">J7</f>
        <v>0</v>
      </c>
      <c r="S7" s="255">
        <f t="shared" ref="S7" si="8">K7</f>
        <v>0.05</v>
      </c>
      <c r="T7" s="255">
        <f t="shared" ref="T7" si="9">L7</f>
        <v>0</v>
      </c>
      <c r="U7" s="255">
        <f t="shared" ref="U7" si="10">M7</f>
        <v>0</v>
      </c>
      <c r="V7" s="255">
        <f t="shared" ref="V7" si="11">N7</f>
        <v>0</v>
      </c>
      <c r="W7" s="255">
        <f t="shared" ref="W7" si="12">O7</f>
        <v>0</v>
      </c>
      <c r="X7" s="255">
        <f t="shared" ref="X7" si="13">P7</f>
        <v>0</v>
      </c>
      <c r="Y7" s="255">
        <f t="shared" ref="Y7" si="14">Q7</f>
        <v>0</v>
      </c>
      <c r="Z7" s="255">
        <f t="shared" ref="Z7" si="15">R7</f>
        <v>0</v>
      </c>
      <c r="AA7" s="255">
        <f t="shared" ref="AA7" si="16">S7</f>
        <v>0.05</v>
      </c>
      <c r="AB7" s="255">
        <f t="shared" ref="AB7" si="17">T7</f>
        <v>0</v>
      </c>
      <c r="AC7" s="255">
        <f t="shared" ref="AC7" si="18">U7</f>
        <v>0</v>
      </c>
      <c r="AD7" s="255">
        <f t="shared" ref="AD7" si="19">V7</f>
        <v>0</v>
      </c>
      <c r="AE7" s="255">
        <f t="shared" ref="AE7" si="20">W7</f>
        <v>0</v>
      </c>
      <c r="AF7" s="255">
        <f t="shared" ref="AF7" si="21">X7</f>
        <v>0</v>
      </c>
      <c r="AG7" s="255">
        <f t="shared" ref="AG7" si="22">Y7</f>
        <v>0</v>
      </c>
      <c r="AH7" s="255">
        <f t="shared" ref="AH7" si="23">Z7</f>
        <v>0</v>
      </c>
      <c r="AI7" s="255">
        <f t="shared" ref="AI7" si="24">AA7</f>
        <v>0.05</v>
      </c>
      <c r="AJ7" s="255">
        <f t="shared" ref="AJ7" si="25">AB7</f>
        <v>0</v>
      </c>
      <c r="AK7" s="255">
        <f t="shared" ref="AK7" si="26">AC7</f>
        <v>0</v>
      </c>
      <c r="AL7" s="255">
        <f t="shared" ref="AL7" si="27">AD7</f>
        <v>0</v>
      </c>
      <c r="AM7" s="255">
        <f t="shared" ref="AM7" si="28">AE7</f>
        <v>0</v>
      </c>
      <c r="AN7" s="255">
        <f t="shared" ref="AN7" si="29">AF7</f>
        <v>0</v>
      </c>
      <c r="AO7" s="255">
        <f t="shared" ref="AO7" si="30">AG7</f>
        <v>0</v>
      </c>
      <c r="AP7" s="255">
        <f t="shared" ref="AP7" si="31">AH7</f>
        <v>0</v>
      </c>
    </row>
    <row r="8" spans="2:42" ht="15">
      <c r="B8" s="285" t="s">
        <v>55</v>
      </c>
      <c r="C8" s="254">
        <f>'[2]Mat of App'!C8</f>
        <v>0.05</v>
      </c>
      <c r="D8" s="254">
        <f>'[2]Mat of App'!D8</f>
        <v>0</v>
      </c>
      <c r="E8" s="254">
        <f>'[2]Mat of App'!E8</f>
        <v>0</v>
      </c>
      <c r="F8" s="254">
        <f>'[2]Mat of App'!F8</f>
        <v>0</v>
      </c>
      <c r="G8" s="254">
        <f>'[2]Mat of App'!G8</f>
        <v>0</v>
      </c>
      <c r="H8" s="254">
        <f>'[2]Mat of App'!H8</f>
        <v>0</v>
      </c>
      <c r="I8" s="254">
        <f>'[2]Mat of App'!I8</f>
        <v>0</v>
      </c>
      <c r="J8" s="254">
        <f>'[2]Mat of App'!J8</f>
        <v>0</v>
      </c>
      <c r="K8" s="255">
        <f t="shared" ref="K8:K26" si="32">C8</f>
        <v>0.05</v>
      </c>
      <c r="L8" s="255">
        <f t="shared" ref="L8:L26" si="33">D8</f>
        <v>0</v>
      </c>
      <c r="M8" s="255">
        <f t="shared" ref="M8:M26" si="34">E8</f>
        <v>0</v>
      </c>
      <c r="N8" s="255">
        <f t="shared" ref="N8:N26" si="35">F8</f>
        <v>0</v>
      </c>
      <c r="O8" s="255">
        <f t="shared" ref="O8:O26" si="36">G8</f>
        <v>0</v>
      </c>
      <c r="P8" s="255">
        <f t="shared" ref="P8:P26" si="37">H8</f>
        <v>0</v>
      </c>
      <c r="Q8" s="255">
        <f t="shared" ref="Q8:Q26" si="38">I8</f>
        <v>0</v>
      </c>
      <c r="R8" s="255">
        <f t="shared" ref="R8:R26" si="39">J8</f>
        <v>0</v>
      </c>
      <c r="S8" s="255">
        <f t="shared" ref="S8:S26" si="40">K8</f>
        <v>0.05</v>
      </c>
      <c r="T8" s="255">
        <f t="shared" ref="T8:T26" si="41">L8</f>
        <v>0</v>
      </c>
      <c r="U8" s="255">
        <f t="shared" ref="U8:U26" si="42">M8</f>
        <v>0</v>
      </c>
      <c r="V8" s="255">
        <f t="shared" ref="V8:V26" si="43">N8</f>
        <v>0</v>
      </c>
      <c r="W8" s="255">
        <f t="shared" ref="W8:W26" si="44">O8</f>
        <v>0</v>
      </c>
      <c r="X8" s="255">
        <f t="shared" ref="X8:X26" si="45">P8</f>
        <v>0</v>
      </c>
      <c r="Y8" s="255">
        <f t="shared" ref="Y8:Y26" si="46">Q8</f>
        <v>0</v>
      </c>
      <c r="Z8" s="255">
        <f t="shared" ref="Z8:Z26" si="47">R8</f>
        <v>0</v>
      </c>
      <c r="AA8" s="255">
        <f t="shared" ref="AA8:AA26" si="48">S8</f>
        <v>0.05</v>
      </c>
      <c r="AB8" s="255">
        <f t="shared" ref="AB8:AB26" si="49">T8</f>
        <v>0</v>
      </c>
      <c r="AC8" s="255">
        <f t="shared" ref="AC8:AC26" si="50">U8</f>
        <v>0</v>
      </c>
      <c r="AD8" s="255">
        <f t="shared" ref="AD8:AD26" si="51">V8</f>
        <v>0</v>
      </c>
      <c r="AE8" s="255">
        <f t="shared" ref="AE8:AE26" si="52">W8</f>
        <v>0</v>
      </c>
      <c r="AF8" s="255">
        <f t="shared" ref="AF8:AF26" si="53">X8</f>
        <v>0</v>
      </c>
      <c r="AG8" s="255">
        <f t="shared" ref="AG8:AG26" si="54">Y8</f>
        <v>0</v>
      </c>
      <c r="AH8" s="255">
        <f t="shared" ref="AH8:AH26" si="55">Z8</f>
        <v>0</v>
      </c>
      <c r="AI8" s="255">
        <f t="shared" ref="AI8:AI26" si="56">AA8</f>
        <v>0.05</v>
      </c>
      <c r="AJ8" s="255">
        <f t="shared" ref="AJ8:AJ26" si="57">AB8</f>
        <v>0</v>
      </c>
      <c r="AK8" s="255">
        <f t="shared" ref="AK8:AK26" si="58">AC8</f>
        <v>0</v>
      </c>
      <c r="AL8" s="255">
        <f t="shared" ref="AL8:AL26" si="59">AD8</f>
        <v>0</v>
      </c>
      <c r="AM8" s="255">
        <f t="shared" ref="AM8:AM26" si="60">AE8</f>
        <v>0</v>
      </c>
      <c r="AN8" s="255">
        <f t="shared" ref="AN8:AN26" si="61">AF8</f>
        <v>0</v>
      </c>
      <c r="AO8" s="255">
        <f t="shared" ref="AO8:AO26" si="62">AG8</f>
        <v>0</v>
      </c>
      <c r="AP8" s="255">
        <f t="shared" ref="AP8:AP26" si="63">AH8</f>
        <v>0</v>
      </c>
    </row>
    <row r="9" spans="2:42" ht="15">
      <c r="B9" s="285" t="s">
        <v>56</v>
      </c>
      <c r="C9" s="254">
        <f>'[2]Mat of App'!C9</f>
        <v>0</v>
      </c>
      <c r="D9" s="254">
        <f>'[2]Mat of App'!D9</f>
        <v>1</v>
      </c>
      <c r="E9" s="254">
        <f>'[2]Mat of App'!E9</f>
        <v>0</v>
      </c>
      <c r="F9" s="254">
        <f>'[2]Mat of App'!F9</f>
        <v>0</v>
      </c>
      <c r="G9" s="254">
        <f>'[2]Mat of App'!G9</f>
        <v>0</v>
      </c>
      <c r="H9" s="254">
        <f>'[2]Mat of App'!H9</f>
        <v>0</v>
      </c>
      <c r="I9" s="254">
        <f>'[2]Mat of App'!I9</f>
        <v>0</v>
      </c>
      <c r="J9" s="254">
        <f>'[2]Mat of App'!J9</f>
        <v>0</v>
      </c>
      <c r="K9" s="255">
        <f t="shared" si="32"/>
        <v>0</v>
      </c>
      <c r="L9" s="255">
        <f t="shared" si="33"/>
        <v>1</v>
      </c>
      <c r="M9" s="255">
        <f t="shared" si="34"/>
        <v>0</v>
      </c>
      <c r="N9" s="255">
        <f t="shared" si="35"/>
        <v>0</v>
      </c>
      <c r="O9" s="255">
        <f t="shared" si="36"/>
        <v>0</v>
      </c>
      <c r="P9" s="255">
        <f t="shared" si="37"/>
        <v>0</v>
      </c>
      <c r="Q9" s="255">
        <f t="shared" si="38"/>
        <v>0</v>
      </c>
      <c r="R9" s="255">
        <f t="shared" si="39"/>
        <v>0</v>
      </c>
      <c r="S9" s="255">
        <f t="shared" si="40"/>
        <v>0</v>
      </c>
      <c r="T9" s="255">
        <f t="shared" si="41"/>
        <v>1</v>
      </c>
      <c r="U9" s="255">
        <f t="shared" si="42"/>
        <v>0</v>
      </c>
      <c r="V9" s="255">
        <f t="shared" si="43"/>
        <v>0</v>
      </c>
      <c r="W9" s="255">
        <f t="shared" si="44"/>
        <v>0</v>
      </c>
      <c r="X9" s="255">
        <f t="shared" si="45"/>
        <v>0</v>
      </c>
      <c r="Y9" s="255">
        <f t="shared" si="46"/>
        <v>0</v>
      </c>
      <c r="Z9" s="255">
        <f t="shared" si="47"/>
        <v>0</v>
      </c>
      <c r="AA9" s="255">
        <f t="shared" si="48"/>
        <v>0</v>
      </c>
      <c r="AB9" s="255">
        <f t="shared" si="49"/>
        <v>1</v>
      </c>
      <c r="AC9" s="255">
        <f t="shared" si="50"/>
        <v>0</v>
      </c>
      <c r="AD9" s="255">
        <f t="shared" si="51"/>
        <v>0</v>
      </c>
      <c r="AE9" s="255">
        <f t="shared" si="52"/>
        <v>0</v>
      </c>
      <c r="AF9" s="255">
        <f t="shared" si="53"/>
        <v>0</v>
      </c>
      <c r="AG9" s="255">
        <f t="shared" si="54"/>
        <v>0</v>
      </c>
      <c r="AH9" s="255">
        <f t="shared" si="55"/>
        <v>0</v>
      </c>
      <c r="AI9" s="255">
        <f t="shared" si="56"/>
        <v>0</v>
      </c>
      <c r="AJ9" s="255">
        <f t="shared" si="57"/>
        <v>1</v>
      </c>
      <c r="AK9" s="255">
        <f t="shared" si="58"/>
        <v>0</v>
      </c>
      <c r="AL9" s="255">
        <f t="shared" si="59"/>
        <v>0</v>
      </c>
      <c r="AM9" s="255">
        <f t="shared" si="60"/>
        <v>0</v>
      </c>
      <c r="AN9" s="255">
        <f t="shared" si="61"/>
        <v>0</v>
      </c>
      <c r="AO9" s="255">
        <f t="shared" si="62"/>
        <v>0</v>
      </c>
      <c r="AP9" s="255">
        <f t="shared" si="63"/>
        <v>0</v>
      </c>
    </row>
    <row r="10" spans="2:42" ht="15">
      <c r="B10" s="285" t="s">
        <v>57</v>
      </c>
      <c r="C10" s="254">
        <f>'[2]Mat of App'!C10</f>
        <v>0</v>
      </c>
      <c r="D10" s="254">
        <f>'[2]Mat of App'!D10</f>
        <v>1</v>
      </c>
      <c r="E10" s="254">
        <f>'[2]Mat of App'!E10</f>
        <v>0</v>
      </c>
      <c r="F10" s="254">
        <f>'[2]Mat of App'!F10</f>
        <v>0</v>
      </c>
      <c r="G10" s="254">
        <f>'[2]Mat of App'!G10</f>
        <v>0</v>
      </c>
      <c r="H10" s="254">
        <f>'[2]Mat of App'!H10</f>
        <v>0</v>
      </c>
      <c r="I10" s="254">
        <f>'[2]Mat of App'!I10</f>
        <v>0</v>
      </c>
      <c r="J10" s="254">
        <f>'[2]Mat of App'!J10</f>
        <v>0</v>
      </c>
      <c r="K10" s="255">
        <f t="shared" si="32"/>
        <v>0</v>
      </c>
      <c r="L10" s="255">
        <f t="shared" si="33"/>
        <v>1</v>
      </c>
      <c r="M10" s="255">
        <f t="shared" si="34"/>
        <v>0</v>
      </c>
      <c r="N10" s="255">
        <f t="shared" si="35"/>
        <v>0</v>
      </c>
      <c r="O10" s="255">
        <f t="shared" si="36"/>
        <v>0</v>
      </c>
      <c r="P10" s="255">
        <f t="shared" si="37"/>
        <v>0</v>
      </c>
      <c r="Q10" s="255">
        <f t="shared" si="38"/>
        <v>0</v>
      </c>
      <c r="R10" s="255">
        <f t="shared" si="39"/>
        <v>0</v>
      </c>
      <c r="S10" s="255">
        <f t="shared" si="40"/>
        <v>0</v>
      </c>
      <c r="T10" s="255">
        <f t="shared" si="41"/>
        <v>1</v>
      </c>
      <c r="U10" s="255">
        <f t="shared" si="42"/>
        <v>0</v>
      </c>
      <c r="V10" s="255">
        <f t="shared" si="43"/>
        <v>0</v>
      </c>
      <c r="W10" s="255">
        <f t="shared" si="44"/>
        <v>0</v>
      </c>
      <c r="X10" s="255">
        <f t="shared" si="45"/>
        <v>0</v>
      </c>
      <c r="Y10" s="255">
        <f t="shared" si="46"/>
        <v>0</v>
      </c>
      <c r="Z10" s="255">
        <f t="shared" si="47"/>
        <v>0</v>
      </c>
      <c r="AA10" s="255">
        <f t="shared" si="48"/>
        <v>0</v>
      </c>
      <c r="AB10" s="255">
        <f t="shared" si="49"/>
        <v>1</v>
      </c>
      <c r="AC10" s="255">
        <f t="shared" si="50"/>
        <v>0</v>
      </c>
      <c r="AD10" s="255">
        <f t="shared" si="51"/>
        <v>0</v>
      </c>
      <c r="AE10" s="255">
        <f t="shared" si="52"/>
        <v>0</v>
      </c>
      <c r="AF10" s="255">
        <f t="shared" si="53"/>
        <v>0</v>
      </c>
      <c r="AG10" s="255">
        <f t="shared" si="54"/>
        <v>0</v>
      </c>
      <c r="AH10" s="255">
        <f t="shared" si="55"/>
        <v>0</v>
      </c>
      <c r="AI10" s="255">
        <f t="shared" si="56"/>
        <v>0</v>
      </c>
      <c r="AJ10" s="255">
        <f t="shared" si="57"/>
        <v>1</v>
      </c>
      <c r="AK10" s="255">
        <f t="shared" si="58"/>
        <v>0</v>
      </c>
      <c r="AL10" s="255">
        <f t="shared" si="59"/>
        <v>0</v>
      </c>
      <c r="AM10" s="255">
        <f t="shared" si="60"/>
        <v>0</v>
      </c>
      <c r="AN10" s="255">
        <f t="shared" si="61"/>
        <v>0</v>
      </c>
      <c r="AO10" s="255">
        <f t="shared" si="62"/>
        <v>0</v>
      </c>
      <c r="AP10" s="255">
        <f t="shared" si="63"/>
        <v>0</v>
      </c>
    </row>
    <row r="11" spans="2:42" ht="15">
      <c r="B11" s="285" t="s">
        <v>58</v>
      </c>
      <c r="C11" s="254">
        <f>'[2]Mat of App'!C11</f>
        <v>0</v>
      </c>
      <c r="D11" s="254">
        <f>'[2]Mat of App'!D11</f>
        <v>0</v>
      </c>
      <c r="E11" s="254">
        <f>'[2]Mat of App'!E11</f>
        <v>1</v>
      </c>
      <c r="F11" s="254">
        <f>'[2]Mat of App'!F11</f>
        <v>0</v>
      </c>
      <c r="G11" s="254">
        <f>'[2]Mat of App'!G11</f>
        <v>0</v>
      </c>
      <c r="H11" s="254">
        <f>'[2]Mat of App'!H11</f>
        <v>0</v>
      </c>
      <c r="I11" s="254">
        <f>'[2]Mat of App'!I11</f>
        <v>0</v>
      </c>
      <c r="J11" s="254">
        <f>'[2]Mat of App'!J11</f>
        <v>0</v>
      </c>
      <c r="K11" s="255">
        <f t="shared" si="32"/>
        <v>0</v>
      </c>
      <c r="L11" s="255">
        <f t="shared" si="33"/>
        <v>0</v>
      </c>
      <c r="M11" s="255">
        <f t="shared" si="34"/>
        <v>1</v>
      </c>
      <c r="N11" s="255">
        <f t="shared" si="35"/>
        <v>0</v>
      </c>
      <c r="O11" s="255">
        <f t="shared" si="36"/>
        <v>0</v>
      </c>
      <c r="P11" s="255">
        <f t="shared" si="37"/>
        <v>0</v>
      </c>
      <c r="Q11" s="255">
        <f t="shared" si="38"/>
        <v>0</v>
      </c>
      <c r="R11" s="255">
        <f t="shared" si="39"/>
        <v>0</v>
      </c>
      <c r="S11" s="255">
        <f t="shared" si="40"/>
        <v>0</v>
      </c>
      <c r="T11" s="255">
        <f t="shared" si="41"/>
        <v>0</v>
      </c>
      <c r="U11" s="255">
        <f t="shared" si="42"/>
        <v>1</v>
      </c>
      <c r="V11" s="255">
        <f t="shared" si="43"/>
        <v>0</v>
      </c>
      <c r="W11" s="255">
        <f t="shared" si="44"/>
        <v>0</v>
      </c>
      <c r="X11" s="255">
        <f t="shared" si="45"/>
        <v>0</v>
      </c>
      <c r="Y11" s="255">
        <f t="shared" si="46"/>
        <v>0</v>
      </c>
      <c r="Z11" s="255">
        <f t="shared" si="47"/>
        <v>0</v>
      </c>
      <c r="AA11" s="255">
        <f t="shared" si="48"/>
        <v>0</v>
      </c>
      <c r="AB11" s="255">
        <f t="shared" si="49"/>
        <v>0</v>
      </c>
      <c r="AC11" s="255">
        <f t="shared" si="50"/>
        <v>1</v>
      </c>
      <c r="AD11" s="255">
        <f t="shared" si="51"/>
        <v>0</v>
      </c>
      <c r="AE11" s="255">
        <f t="shared" si="52"/>
        <v>0</v>
      </c>
      <c r="AF11" s="255">
        <f t="shared" si="53"/>
        <v>0</v>
      </c>
      <c r="AG11" s="255">
        <f t="shared" si="54"/>
        <v>0</v>
      </c>
      <c r="AH11" s="255">
        <f t="shared" si="55"/>
        <v>0</v>
      </c>
      <c r="AI11" s="255">
        <f t="shared" si="56"/>
        <v>0</v>
      </c>
      <c r="AJ11" s="255">
        <f t="shared" si="57"/>
        <v>0</v>
      </c>
      <c r="AK11" s="255">
        <f t="shared" si="58"/>
        <v>1</v>
      </c>
      <c r="AL11" s="255">
        <f t="shared" si="59"/>
        <v>0</v>
      </c>
      <c r="AM11" s="255">
        <f t="shared" si="60"/>
        <v>0</v>
      </c>
      <c r="AN11" s="255">
        <f t="shared" si="61"/>
        <v>0</v>
      </c>
      <c r="AO11" s="255">
        <f t="shared" si="62"/>
        <v>0</v>
      </c>
      <c r="AP11" s="255">
        <f t="shared" si="63"/>
        <v>0</v>
      </c>
    </row>
    <row r="12" spans="2:42" ht="15">
      <c r="B12" s="285" t="s">
        <v>59</v>
      </c>
      <c r="C12" s="254">
        <f>'[2]Mat of App'!C12</f>
        <v>0</v>
      </c>
      <c r="D12" s="254">
        <f>'[2]Mat of App'!D12</f>
        <v>0</v>
      </c>
      <c r="E12" s="254">
        <f>'[2]Mat of App'!E12</f>
        <v>0</v>
      </c>
      <c r="F12" s="254">
        <f>'[2]Mat of App'!F12</f>
        <v>1</v>
      </c>
      <c r="G12" s="254">
        <f>'[2]Mat of App'!G12</f>
        <v>0</v>
      </c>
      <c r="H12" s="254">
        <f>'[2]Mat of App'!H12</f>
        <v>0</v>
      </c>
      <c r="I12" s="254">
        <f>'[2]Mat of App'!I12</f>
        <v>0</v>
      </c>
      <c r="J12" s="254">
        <f>'[2]Mat of App'!J12</f>
        <v>0</v>
      </c>
      <c r="K12" s="255">
        <f t="shared" si="32"/>
        <v>0</v>
      </c>
      <c r="L12" s="255">
        <f t="shared" si="33"/>
        <v>0</v>
      </c>
      <c r="M12" s="255">
        <f t="shared" si="34"/>
        <v>0</v>
      </c>
      <c r="N12" s="255">
        <f t="shared" si="35"/>
        <v>1</v>
      </c>
      <c r="O12" s="255">
        <f t="shared" si="36"/>
        <v>0</v>
      </c>
      <c r="P12" s="255">
        <f t="shared" si="37"/>
        <v>0</v>
      </c>
      <c r="Q12" s="255">
        <f t="shared" si="38"/>
        <v>0</v>
      </c>
      <c r="R12" s="255">
        <f t="shared" si="39"/>
        <v>0</v>
      </c>
      <c r="S12" s="255">
        <f t="shared" si="40"/>
        <v>0</v>
      </c>
      <c r="T12" s="255">
        <f t="shared" si="41"/>
        <v>0</v>
      </c>
      <c r="U12" s="255">
        <f t="shared" si="42"/>
        <v>0</v>
      </c>
      <c r="V12" s="255">
        <f t="shared" si="43"/>
        <v>1</v>
      </c>
      <c r="W12" s="255">
        <f t="shared" si="44"/>
        <v>0</v>
      </c>
      <c r="X12" s="255">
        <f t="shared" si="45"/>
        <v>0</v>
      </c>
      <c r="Y12" s="255">
        <f t="shared" si="46"/>
        <v>0</v>
      </c>
      <c r="Z12" s="255">
        <f t="shared" si="47"/>
        <v>0</v>
      </c>
      <c r="AA12" s="255">
        <f t="shared" si="48"/>
        <v>0</v>
      </c>
      <c r="AB12" s="255">
        <f t="shared" si="49"/>
        <v>0</v>
      </c>
      <c r="AC12" s="255">
        <f t="shared" si="50"/>
        <v>0</v>
      </c>
      <c r="AD12" s="255">
        <f t="shared" si="51"/>
        <v>1</v>
      </c>
      <c r="AE12" s="255">
        <f t="shared" si="52"/>
        <v>0</v>
      </c>
      <c r="AF12" s="255">
        <f t="shared" si="53"/>
        <v>0</v>
      </c>
      <c r="AG12" s="255">
        <f t="shared" si="54"/>
        <v>0</v>
      </c>
      <c r="AH12" s="255">
        <f t="shared" si="55"/>
        <v>0</v>
      </c>
      <c r="AI12" s="255">
        <f t="shared" si="56"/>
        <v>0</v>
      </c>
      <c r="AJ12" s="255">
        <f t="shared" si="57"/>
        <v>0</v>
      </c>
      <c r="AK12" s="255">
        <f t="shared" si="58"/>
        <v>0</v>
      </c>
      <c r="AL12" s="255">
        <f t="shared" si="59"/>
        <v>1</v>
      </c>
      <c r="AM12" s="255">
        <f t="shared" si="60"/>
        <v>0</v>
      </c>
      <c r="AN12" s="255">
        <f t="shared" si="61"/>
        <v>0</v>
      </c>
      <c r="AO12" s="255">
        <f t="shared" si="62"/>
        <v>0</v>
      </c>
      <c r="AP12" s="255">
        <f t="shared" si="63"/>
        <v>0</v>
      </c>
    </row>
    <row r="13" spans="2:42" ht="15">
      <c r="B13" s="285" t="s">
        <v>1178</v>
      </c>
      <c r="C13" s="254">
        <f>'[2]Mat of App'!C13</f>
        <v>0.05</v>
      </c>
      <c r="D13" s="254">
        <f>'[2]Mat of App'!D13</f>
        <v>0</v>
      </c>
      <c r="E13" s="254">
        <f>'[2]Mat of App'!E13</f>
        <v>0</v>
      </c>
      <c r="F13" s="254">
        <f>'[2]Mat of App'!F13</f>
        <v>0</v>
      </c>
      <c r="G13" s="254">
        <f>'[2]Mat of App'!G13</f>
        <v>0</v>
      </c>
      <c r="H13" s="254">
        <f>'[2]Mat of App'!H13</f>
        <v>0</v>
      </c>
      <c r="I13" s="254">
        <f>'[2]Mat of App'!I13</f>
        <v>0</v>
      </c>
      <c r="J13" s="254">
        <f>'[2]Mat of App'!J13</f>
        <v>0</v>
      </c>
      <c r="K13" s="255">
        <f t="shared" si="32"/>
        <v>0.05</v>
      </c>
      <c r="L13" s="255">
        <f t="shared" si="33"/>
        <v>0</v>
      </c>
      <c r="M13" s="255">
        <f t="shared" si="34"/>
        <v>0</v>
      </c>
      <c r="N13" s="255">
        <f t="shared" si="35"/>
        <v>0</v>
      </c>
      <c r="O13" s="255">
        <f t="shared" si="36"/>
        <v>0</v>
      </c>
      <c r="P13" s="255">
        <f t="shared" si="37"/>
        <v>0</v>
      </c>
      <c r="Q13" s="255">
        <f t="shared" si="38"/>
        <v>0</v>
      </c>
      <c r="R13" s="255">
        <f t="shared" si="39"/>
        <v>0</v>
      </c>
      <c r="S13" s="255">
        <f t="shared" si="40"/>
        <v>0.05</v>
      </c>
      <c r="T13" s="255">
        <f t="shared" si="41"/>
        <v>0</v>
      </c>
      <c r="U13" s="255">
        <f t="shared" si="42"/>
        <v>0</v>
      </c>
      <c r="V13" s="255">
        <f t="shared" si="43"/>
        <v>0</v>
      </c>
      <c r="W13" s="255">
        <f t="shared" si="44"/>
        <v>0</v>
      </c>
      <c r="X13" s="255">
        <f t="shared" si="45"/>
        <v>0</v>
      </c>
      <c r="Y13" s="255">
        <f t="shared" si="46"/>
        <v>0</v>
      </c>
      <c r="Z13" s="255">
        <f t="shared" si="47"/>
        <v>0</v>
      </c>
      <c r="AA13" s="255">
        <f t="shared" si="48"/>
        <v>0.05</v>
      </c>
      <c r="AB13" s="255">
        <f t="shared" si="49"/>
        <v>0</v>
      </c>
      <c r="AC13" s="255">
        <f t="shared" si="50"/>
        <v>0</v>
      </c>
      <c r="AD13" s="255">
        <f t="shared" si="51"/>
        <v>0</v>
      </c>
      <c r="AE13" s="255">
        <f t="shared" si="52"/>
        <v>0</v>
      </c>
      <c r="AF13" s="255">
        <f t="shared" si="53"/>
        <v>0</v>
      </c>
      <c r="AG13" s="255">
        <f t="shared" si="54"/>
        <v>0</v>
      </c>
      <c r="AH13" s="255">
        <f t="shared" si="55"/>
        <v>0</v>
      </c>
      <c r="AI13" s="255">
        <f t="shared" si="56"/>
        <v>0.05</v>
      </c>
      <c r="AJ13" s="255">
        <f t="shared" si="57"/>
        <v>0</v>
      </c>
      <c r="AK13" s="255">
        <f t="shared" si="58"/>
        <v>0</v>
      </c>
      <c r="AL13" s="255">
        <f t="shared" si="59"/>
        <v>0</v>
      </c>
      <c r="AM13" s="255">
        <f t="shared" si="60"/>
        <v>0</v>
      </c>
      <c r="AN13" s="255">
        <f t="shared" si="61"/>
        <v>0</v>
      </c>
      <c r="AO13" s="255">
        <f t="shared" si="62"/>
        <v>0</v>
      </c>
      <c r="AP13" s="255">
        <f t="shared" si="63"/>
        <v>0</v>
      </c>
    </row>
    <row r="14" spans="2:42" ht="15">
      <c r="B14" s="285" t="s">
        <v>1177</v>
      </c>
      <c r="C14" s="254">
        <f>'[2]Mat of App'!C14</f>
        <v>0</v>
      </c>
      <c r="D14" s="254">
        <f>'[2]Mat of App'!D14</f>
        <v>1</v>
      </c>
      <c r="E14" s="254">
        <f>'[2]Mat of App'!E14</f>
        <v>0</v>
      </c>
      <c r="F14" s="254">
        <f>'[2]Mat of App'!F14</f>
        <v>0</v>
      </c>
      <c r="G14" s="254">
        <f>'[2]Mat of App'!G14</f>
        <v>0</v>
      </c>
      <c r="H14" s="254">
        <f>'[2]Mat of App'!H14</f>
        <v>0</v>
      </c>
      <c r="I14" s="254">
        <f>'[2]Mat of App'!I14</f>
        <v>0</v>
      </c>
      <c r="J14" s="254">
        <f>'[2]Mat of App'!J14</f>
        <v>0</v>
      </c>
      <c r="K14" s="255">
        <f t="shared" si="32"/>
        <v>0</v>
      </c>
      <c r="L14" s="255">
        <f t="shared" si="33"/>
        <v>1</v>
      </c>
      <c r="M14" s="255">
        <f t="shared" si="34"/>
        <v>0</v>
      </c>
      <c r="N14" s="255">
        <f t="shared" si="35"/>
        <v>0</v>
      </c>
      <c r="O14" s="255">
        <f t="shared" si="36"/>
        <v>0</v>
      </c>
      <c r="P14" s="255">
        <f t="shared" si="37"/>
        <v>0</v>
      </c>
      <c r="Q14" s="255">
        <f t="shared" si="38"/>
        <v>0</v>
      </c>
      <c r="R14" s="255">
        <f t="shared" si="39"/>
        <v>0</v>
      </c>
      <c r="S14" s="255">
        <f t="shared" si="40"/>
        <v>0</v>
      </c>
      <c r="T14" s="255">
        <f t="shared" si="41"/>
        <v>1</v>
      </c>
      <c r="U14" s="255">
        <f t="shared" si="42"/>
        <v>0</v>
      </c>
      <c r="V14" s="255">
        <f t="shared" si="43"/>
        <v>0</v>
      </c>
      <c r="W14" s="255">
        <f t="shared" si="44"/>
        <v>0</v>
      </c>
      <c r="X14" s="255">
        <f t="shared" si="45"/>
        <v>0</v>
      </c>
      <c r="Y14" s="255">
        <f t="shared" si="46"/>
        <v>0</v>
      </c>
      <c r="Z14" s="255">
        <f t="shared" si="47"/>
        <v>0</v>
      </c>
      <c r="AA14" s="255">
        <f t="shared" si="48"/>
        <v>0</v>
      </c>
      <c r="AB14" s="255">
        <f t="shared" si="49"/>
        <v>1</v>
      </c>
      <c r="AC14" s="255">
        <f t="shared" si="50"/>
        <v>0</v>
      </c>
      <c r="AD14" s="255">
        <f t="shared" si="51"/>
        <v>0</v>
      </c>
      <c r="AE14" s="255">
        <f t="shared" si="52"/>
        <v>0</v>
      </c>
      <c r="AF14" s="255">
        <f t="shared" si="53"/>
        <v>0</v>
      </c>
      <c r="AG14" s="255">
        <f t="shared" si="54"/>
        <v>0</v>
      </c>
      <c r="AH14" s="255">
        <f t="shared" si="55"/>
        <v>0</v>
      </c>
      <c r="AI14" s="255">
        <f t="shared" si="56"/>
        <v>0</v>
      </c>
      <c r="AJ14" s="255">
        <f t="shared" si="57"/>
        <v>1</v>
      </c>
      <c r="AK14" s="255">
        <f t="shared" si="58"/>
        <v>0</v>
      </c>
      <c r="AL14" s="255">
        <f t="shared" si="59"/>
        <v>0</v>
      </c>
      <c r="AM14" s="255">
        <f t="shared" si="60"/>
        <v>0</v>
      </c>
      <c r="AN14" s="255">
        <f t="shared" si="61"/>
        <v>0</v>
      </c>
      <c r="AO14" s="255">
        <f t="shared" si="62"/>
        <v>0</v>
      </c>
      <c r="AP14" s="255">
        <f t="shared" si="63"/>
        <v>0</v>
      </c>
    </row>
    <row r="15" spans="2:42" ht="15">
      <c r="B15" s="285" t="s">
        <v>60</v>
      </c>
      <c r="C15" s="254">
        <f>'[2]Mat of App'!C15</f>
        <v>0</v>
      </c>
      <c r="D15" s="254">
        <f>'[2]Mat of App'!D15</f>
        <v>0</v>
      </c>
      <c r="E15" s="254">
        <f>'[2]Mat of App'!E15</f>
        <v>0</v>
      </c>
      <c r="F15" s="254">
        <f>'[2]Mat of App'!F15</f>
        <v>0</v>
      </c>
      <c r="G15" s="254">
        <f>'[2]Mat of App'!G15</f>
        <v>1</v>
      </c>
      <c r="H15" s="254">
        <f>'[2]Mat of App'!H15</f>
        <v>0</v>
      </c>
      <c r="I15" s="254">
        <f>'[2]Mat of App'!I15</f>
        <v>0</v>
      </c>
      <c r="J15" s="254">
        <f>'[2]Mat of App'!J15</f>
        <v>0</v>
      </c>
      <c r="K15" s="255">
        <f t="shared" si="32"/>
        <v>0</v>
      </c>
      <c r="L15" s="255">
        <f t="shared" si="33"/>
        <v>0</v>
      </c>
      <c r="M15" s="255">
        <f t="shared" si="34"/>
        <v>0</v>
      </c>
      <c r="N15" s="255">
        <f t="shared" si="35"/>
        <v>0</v>
      </c>
      <c r="O15" s="255">
        <f t="shared" si="36"/>
        <v>1</v>
      </c>
      <c r="P15" s="255">
        <f t="shared" si="37"/>
        <v>0</v>
      </c>
      <c r="Q15" s="255">
        <f t="shared" si="38"/>
        <v>0</v>
      </c>
      <c r="R15" s="255">
        <f t="shared" si="39"/>
        <v>0</v>
      </c>
      <c r="S15" s="255">
        <f t="shared" si="40"/>
        <v>0</v>
      </c>
      <c r="T15" s="255">
        <f t="shared" si="41"/>
        <v>0</v>
      </c>
      <c r="U15" s="255">
        <f t="shared" si="42"/>
        <v>0</v>
      </c>
      <c r="V15" s="255">
        <f t="shared" si="43"/>
        <v>0</v>
      </c>
      <c r="W15" s="255">
        <f t="shared" si="44"/>
        <v>1</v>
      </c>
      <c r="X15" s="255">
        <f t="shared" si="45"/>
        <v>0</v>
      </c>
      <c r="Y15" s="255">
        <f t="shared" si="46"/>
        <v>0</v>
      </c>
      <c r="Z15" s="255">
        <f t="shared" si="47"/>
        <v>0</v>
      </c>
      <c r="AA15" s="255">
        <f t="shared" si="48"/>
        <v>0</v>
      </c>
      <c r="AB15" s="255">
        <f t="shared" si="49"/>
        <v>0</v>
      </c>
      <c r="AC15" s="255">
        <f t="shared" si="50"/>
        <v>0</v>
      </c>
      <c r="AD15" s="255">
        <f t="shared" si="51"/>
        <v>0</v>
      </c>
      <c r="AE15" s="255">
        <f t="shared" si="52"/>
        <v>1</v>
      </c>
      <c r="AF15" s="255">
        <f t="shared" si="53"/>
        <v>0</v>
      </c>
      <c r="AG15" s="255">
        <f t="shared" si="54"/>
        <v>0</v>
      </c>
      <c r="AH15" s="255">
        <f t="shared" si="55"/>
        <v>0</v>
      </c>
      <c r="AI15" s="255">
        <f t="shared" si="56"/>
        <v>0</v>
      </c>
      <c r="AJ15" s="255">
        <f t="shared" si="57"/>
        <v>0</v>
      </c>
      <c r="AK15" s="255">
        <f t="shared" si="58"/>
        <v>0</v>
      </c>
      <c r="AL15" s="255">
        <f t="shared" si="59"/>
        <v>0</v>
      </c>
      <c r="AM15" s="255">
        <f t="shared" si="60"/>
        <v>1</v>
      </c>
      <c r="AN15" s="255">
        <f t="shared" si="61"/>
        <v>0</v>
      </c>
      <c r="AO15" s="255">
        <f t="shared" si="62"/>
        <v>0</v>
      </c>
      <c r="AP15" s="255">
        <f t="shared" si="63"/>
        <v>0</v>
      </c>
    </row>
    <row r="16" spans="2:42" ht="15">
      <c r="B16" s="285" t="s">
        <v>61</v>
      </c>
      <c r="C16" s="254">
        <f>'[2]Mat of App'!C16</f>
        <v>0</v>
      </c>
      <c r="D16" s="254">
        <f>'[2]Mat of App'!D16</f>
        <v>0</v>
      </c>
      <c r="E16" s="254">
        <f>'[2]Mat of App'!E16</f>
        <v>0</v>
      </c>
      <c r="F16" s="254">
        <f>'[2]Mat of App'!F16</f>
        <v>0</v>
      </c>
      <c r="G16" s="254">
        <f>'[2]Mat of App'!G16</f>
        <v>0</v>
      </c>
      <c r="H16" s="254">
        <f>'[2]Mat of App'!H16</f>
        <v>1</v>
      </c>
      <c r="I16" s="254">
        <f>'[2]Mat of App'!I16</f>
        <v>0</v>
      </c>
      <c r="J16" s="254">
        <f>'[2]Mat of App'!J16</f>
        <v>0</v>
      </c>
      <c r="K16" s="255">
        <f t="shared" si="32"/>
        <v>0</v>
      </c>
      <c r="L16" s="255">
        <f t="shared" si="33"/>
        <v>0</v>
      </c>
      <c r="M16" s="255">
        <f t="shared" si="34"/>
        <v>0</v>
      </c>
      <c r="N16" s="255">
        <f t="shared" si="35"/>
        <v>0</v>
      </c>
      <c r="O16" s="255">
        <f t="shared" si="36"/>
        <v>0</v>
      </c>
      <c r="P16" s="255">
        <f t="shared" si="37"/>
        <v>1</v>
      </c>
      <c r="Q16" s="255">
        <f t="shared" si="38"/>
        <v>0</v>
      </c>
      <c r="R16" s="255">
        <f t="shared" si="39"/>
        <v>0</v>
      </c>
      <c r="S16" s="255">
        <f t="shared" si="40"/>
        <v>0</v>
      </c>
      <c r="T16" s="255">
        <f t="shared" si="41"/>
        <v>0</v>
      </c>
      <c r="U16" s="255">
        <f t="shared" si="42"/>
        <v>0</v>
      </c>
      <c r="V16" s="255">
        <f t="shared" si="43"/>
        <v>0</v>
      </c>
      <c r="W16" s="255">
        <f t="shared" si="44"/>
        <v>0</v>
      </c>
      <c r="X16" s="255">
        <f t="shared" si="45"/>
        <v>1</v>
      </c>
      <c r="Y16" s="255">
        <f t="shared" si="46"/>
        <v>0</v>
      </c>
      <c r="Z16" s="255">
        <f t="shared" si="47"/>
        <v>0</v>
      </c>
      <c r="AA16" s="255">
        <f t="shared" si="48"/>
        <v>0</v>
      </c>
      <c r="AB16" s="255">
        <f t="shared" si="49"/>
        <v>0</v>
      </c>
      <c r="AC16" s="255">
        <f t="shared" si="50"/>
        <v>0</v>
      </c>
      <c r="AD16" s="255">
        <f t="shared" si="51"/>
        <v>0</v>
      </c>
      <c r="AE16" s="255">
        <f t="shared" si="52"/>
        <v>0</v>
      </c>
      <c r="AF16" s="255">
        <f t="shared" si="53"/>
        <v>1</v>
      </c>
      <c r="AG16" s="255">
        <f t="shared" si="54"/>
        <v>0</v>
      </c>
      <c r="AH16" s="255">
        <f t="shared" si="55"/>
        <v>0</v>
      </c>
      <c r="AI16" s="255">
        <f t="shared" si="56"/>
        <v>0</v>
      </c>
      <c r="AJ16" s="255">
        <f t="shared" si="57"/>
        <v>0</v>
      </c>
      <c r="AK16" s="255">
        <f t="shared" si="58"/>
        <v>0</v>
      </c>
      <c r="AL16" s="255">
        <f t="shared" si="59"/>
        <v>0</v>
      </c>
      <c r="AM16" s="255">
        <f t="shared" si="60"/>
        <v>0</v>
      </c>
      <c r="AN16" s="255">
        <f t="shared" si="61"/>
        <v>1</v>
      </c>
      <c r="AO16" s="255">
        <f t="shared" si="62"/>
        <v>0</v>
      </c>
      <c r="AP16" s="255">
        <f t="shared" si="63"/>
        <v>0</v>
      </c>
    </row>
    <row r="17" spans="2:42" ht="15">
      <c r="B17" s="285" t="s">
        <v>1176</v>
      </c>
      <c r="C17" s="254">
        <f>'[2]Mat of App'!C17</f>
        <v>0</v>
      </c>
      <c r="D17" s="254">
        <f>'[2]Mat of App'!D17</f>
        <v>0</v>
      </c>
      <c r="E17" s="254">
        <f>'[2]Mat of App'!E17</f>
        <v>0</v>
      </c>
      <c r="F17" s="254">
        <f>'[2]Mat of App'!F17</f>
        <v>0</v>
      </c>
      <c r="G17" s="254">
        <f>'[2]Mat of App'!G17</f>
        <v>0</v>
      </c>
      <c r="H17" s="254">
        <f>'[2]Mat of App'!H17</f>
        <v>0</v>
      </c>
      <c r="I17" s="254">
        <f>'[2]Mat of App'!I17</f>
        <v>1</v>
      </c>
      <c r="J17" s="254">
        <f>'[2]Mat of App'!J17</f>
        <v>0</v>
      </c>
      <c r="K17" s="255">
        <f t="shared" si="32"/>
        <v>0</v>
      </c>
      <c r="L17" s="255">
        <f t="shared" si="33"/>
        <v>0</v>
      </c>
      <c r="M17" s="255">
        <f t="shared" si="34"/>
        <v>0</v>
      </c>
      <c r="N17" s="255">
        <f t="shared" si="35"/>
        <v>0</v>
      </c>
      <c r="O17" s="255">
        <f t="shared" si="36"/>
        <v>0</v>
      </c>
      <c r="P17" s="255">
        <f t="shared" si="37"/>
        <v>0</v>
      </c>
      <c r="Q17" s="255">
        <f t="shared" si="38"/>
        <v>1</v>
      </c>
      <c r="R17" s="255">
        <f t="shared" si="39"/>
        <v>0</v>
      </c>
      <c r="S17" s="255">
        <f t="shared" si="40"/>
        <v>0</v>
      </c>
      <c r="T17" s="255">
        <f t="shared" si="41"/>
        <v>0</v>
      </c>
      <c r="U17" s="255">
        <f t="shared" si="42"/>
        <v>0</v>
      </c>
      <c r="V17" s="255">
        <f t="shared" si="43"/>
        <v>0</v>
      </c>
      <c r="W17" s="255">
        <f t="shared" si="44"/>
        <v>0</v>
      </c>
      <c r="X17" s="255">
        <f t="shared" si="45"/>
        <v>0</v>
      </c>
      <c r="Y17" s="255">
        <f t="shared" si="46"/>
        <v>1</v>
      </c>
      <c r="Z17" s="255">
        <f t="shared" si="47"/>
        <v>0</v>
      </c>
      <c r="AA17" s="255">
        <f t="shared" si="48"/>
        <v>0</v>
      </c>
      <c r="AB17" s="255">
        <f t="shared" si="49"/>
        <v>0</v>
      </c>
      <c r="AC17" s="255">
        <f t="shared" si="50"/>
        <v>0</v>
      </c>
      <c r="AD17" s="255">
        <f t="shared" si="51"/>
        <v>0</v>
      </c>
      <c r="AE17" s="255">
        <f t="shared" si="52"/>
        <v>0</v>
      </c>
      <c r="AF17" s="255">
        <f t="shared" si="53"/>
        <v>0</v>
      </c>
      <c r="AG17" s="255">
        <f t="shared" si="54"/>
        <v>1</v>
      </c>
      <c r="AH17" s="255">
        <f t="shared" si="55"/>
        <v>0</v>
      </c>
      <c r="AI17" s="255">
        <f t="shared" si="56"/>
        <v>0</v>
      </c>
      <c r="AJ17" s="255">
        <f t="shared" si="57"/>
        <v>0</v>
      </c>
      <c r="AK17" s="255">
        <f t="shared" si="58"/>
        <v>0</v>
      </c>
      <c r="AL17" s="255">
        <f t="shared" si="59"/>
        <v>0</v>
      </c>
      <c r="AM17" s="255">
        <f t="shared" si="60"/>
        <v>0</v>
      </c>
      <c r="AN17" s="255">
        <f t="shared" si="61"/>
        <v>0</v>
      </c>
      <c r="AO17" s="255">
        <f t="shared" si="62"/>
        <v>1</v>
      </c>
      <c r="AP17" s="255">
        <f t="shared" si="63"/>
        <v>0</v>
      </c>
    </row>
    <row r="18" spans="2:42" ht="15">
      <c r="B18" s="285" t="s">
        <v>62</v>
      </c>
      <c r="C18" s="254">
        <f>'[2]Mat of App'!C18</f>
        <v>0</v>
      </c>
      <c r="D18" s="254">
        <f>'[2]Mat of App'!D18</f>
        <v>0</v>
      </c>
      <c r="E18" s="254">
        <f>'[2]Mat of App'!E18</f>
        <v>0</v>
      </c>
      <c r="F18" s="254">
        <f>'[2]Mat of App'!F18</f>
        <v>0</v>
      </c>
      <c r="G18" s="254">
        <f>'[2]Mat of App'!G18</f>
        <v>0</v>
      </c>
      <c r="H18" s="254">
        <f>'[2]Mat of App'!H18</f>
        <v>0</v>
      </c>
      <c r="I18" s="254">
        <f>'[2]Mat of App'!I18</f>
        <v>1</v>
      </c>
      <c r="J18" s="254">
        <f>'[2]Mat of App'!J18</f>
        <v>0</v>
      </c>
      <c r="K18" s="255">
        <f t="shared" si="32"/>
        <v>0</v>
      </c>
      <c r="L18" s="255">
        <f t="shared" si="33"/>
        <v>0</v>
      </c>
      <c r="M18" s="255">
        <f t="shared" si="34"/>
        <v>0</v>
      </c>
      <c r="N18" s="255">
        <f t="shared" si="35"/>
        <v>0</v>
      </c>
      <c r="O18" s="255">
        <f t="shared" si="36"/>
        <v>0</v>
      </c>
      <c r="P18" s="255">
        <f t="shared" si="37"/>
        <v>0</v>
      </c>
      <c r="Q18" s="255">
        <f t="shared" si="38"/>
        <v>1</v>
      </c>
      <c r="R18" s="255">
        <f t="shared" si="39"/>
        <v>0</v>
      </c>
      <c r="S18" s="255">
        <f t="shared" si="40"/>
        <v>0</v>
      </c>
      <c r="T18" s="255">
        <f t="shared" si="41"/>
        <v>0</v>
      </c>
      <c r="U18" s="255">
        <f t="shared" si="42"/>
        <v>0</v>
      </c>
      <c r="V18" s="255">
        <f t="shared" si="43"/>
        <v>0</v>
      </c>
      <c r="W18" s="255">
        <f t="shared" si="44"/>
        <v>0</v>
      </c>
      <c r="X18" s="255">
        <f t="shared" si="45"/>
        <v>0</v>
      </c>
      <c r="Y18" s="255">
        <f t="shared" si="46"/>
        <v>1</v>
      </c>
      <c r="Z18" s="255">
        <f t="shared" si="47"/>
        <v>0</v>
      </c>
      <c r="AA18" s="255">
        <f t="shared" si="48"/>
        <v>0</v>
      </c>
      <c r="AB18" s="255">
        <f t="shared" si="49"/>
        <v>0</v>
      </c>
      <c r="AC18" s="255">
        <f t="shared" si="50"/>
        <v>0</v>
      </c>
      <c r="AD18" s="255">
        <f t="shared" si="51"/>
        <v>0</v>
      </c>
      <c r="AE18" s="255">
        <f t="shared" si="52"/>
        <v>0</v>
      </c>
      <c r="AF18" s="255">
        <f t="shared" si="53"/>
        <v>0</v>
      </c>
      <c r="AG18" s="255">
        <f t="shared" si="54"/>
        <v>1</v>
      </c>
      <c r="AH18" s="255">
        <f t="shared" si="55"/>
        <v>0</v>
      </c>
      <c r="AI18" s="255">
        <f t="shared" si="56"/>
        <v>0</v>
      </c>
      <c r="AJ18" s="255">
        <f t="shared" si="57"/>
        <v>0</v>
      </c>
      <c r="AK18" s="255">
        <f t="shared" si="58"/>
        <v>0</v>
      </c>
      <c r="AL18" s="255">
        <f t="shared" si="59"/>
        <v>0</v>
      </c>
      <c r="AM18" s="255">
        <f t="shared" si="60"/>
        <v>0</v>
      </c>
      <c r="AN18" s="255">
        <f t="shared" si="61"/>
        <v>0</v>
      </c>
      <c r="AO18" s="255">
        <f t="shared" si="62"/>
        <v>1</v>
      </c>
      <c r="AP18" s="255">
        <f t="shared" si="63"/>
        <v>0</v>
      </c>
    </row>
    <row r="19" spans="2:42" ht="15">
      <c r="B19" s="285" t="s">
        <v>63</v>
      </c>
      <c r="C19" s="254">
        <f>'[2]Mat of App'!C19</f>
        <v>0</v>
      </c>
      <c r="D19" s="254">
        <f>'[2]Mat of App'!D19</f>
        <v>0</v>
      </c>
      <c r="E19" s="254">
        <f>'[2]Mat of App'!E19</f>
        <v>0</v>
      </c>
      <c r="F19" s="254">
        <f>'[2]Mat of App'!F19</f>
        <v>0</v>
      </c>
      <c r="G19" s="254">
        <f>'[2]Mat of App'!G19</f>
        <v>0</v>
      </c>
      <c r="H19" s="254">
        <f>'[2]Mat of App'!H19</f>
        <v>0</v>
      </c>
      <c r="I19" s="254">
        <f>'[2]Mat of App'!I19</f>
        <v>1</v>
      </c>
      <c r="J19" s="254">
        <f>'[2]Mat of App'!J19</f>
        <v>0</v>
      </c>
      <c r="K19" s="255">
        <f t="shared" si="32"/>
        <v>0</v>
      </c>
      <c r="L19" s="255">
        <f t="shared" si="33"/>
        <v>0</v>
      </c>
      <c r="M19" s="255">
        <f t="shared" si="34"/>
        <v>0</v>
      </c>
      <c r="N19" s="255">
        <f t="shared" si="35"/>
        <v>0</v>
      </c>
      <c r="O19" s="255">
        <f t="shared" si="36"/>
        <v>0</v>
      </c>
      <c r="P19" s="255">
        <f t="shared" si="37"/>
        <v>0</v>
      </c>
      <c r="Q19" s="255">
        <f t="shared" si="38"/>
        <v>1</v>
      </c>
      <c r="R19" s="255">
        <f t="shared" si="39"/>
        <v>0</v>
      </c>
      <c r="S19" s="255">
        <f t="shared" si="40"/>
        <v>0</v>
      </c>
      <c r="T19" s="255">
        <f t="shared" si="41"/>
        <v>0</v>
      </c>
      <c r="U19" s="255">
        <f t="shared" si="42"/>
        <v>0</v>
      </c>
      <c r="V19" s="255">
        <f t="shared" si="43"/>
        <v>0</v>
      </c>
      <c r="W19" s="255">
        <f t="shared" si="44"/>
        <v>0</v>
      </c>
      <c r="X19" s="255">
        <f t="shared" si="45"/>
        <v>0</v>
      </c>
      <c r="Y19" s="255">
        <f t="shared" si="46"/>
        <v>1</v>
      </c>
      <c r="Z19" s="255">
        <f t="shared" si="47"/>
        <v>0</v>
      </c>
      <c r="AA19" s="255">
        <f t="shared" si="48"/>
        <v>0</v>
      </c>
      <c r="AB19" s="255">
        <f t="shared" si="49"/>
        <v>0</v>
      </c>
      <c r="AC19" s="255">
        <f t="shared" si="50"/>
        <v>0</v>
      </c>
      <c r="AD19" s="255">
        <f t="shared" si="51"/>
        <v>0</v>
      </c>
      <c r="AE19" s="255">
        <f t="shared" si="52"/>
        <v>0</v>
      </c>
      <c r="AF19" s="255">
        <f t="shared" si="53"/>
        <v>0</v>
      </c>
      <c r="AG19" s="255">
        <f t="shared" si="54"/>
        <v>1</v>
      </c>
      <c r="AH19" s="255">
        <f t="shared" si="55"/>
        <v>0</v>
      </c>
      <c r="AI19" s="255">
        <f t="shared" si="56"/>
        <v>0</v>
      </c>
      <c r="AJ19" s="255">
        <f t="shared" si="57"/>
        <v>0</v>
      </c>
      <c r="AK19" s="255">
        <f t="shared" si="58"/>
        <v>0</v>
      </c>
      <c r="AL19" s="255">
        <f t="shared" si="59"/>
        <v>0</v>
      </c>
      <c r="AM19" s="255">
        <f t="shared" si="60"/>
        <v>0</v>
      </c>
      <c r="AN19" s="255">
        <f t="shared" si="61"/>
        <v>0</v>
      </c>
      <c r="AO19" s="255">
        <f t="shared" si="62"/>
        <v>1</v>
      </c>
      <c r="AP19" s="255">
        <f t="shared" si="63"/>
        <v>0</v>
      </c>
    </row>
    <row r="20" spans="2:42" ht="15">
      <c r="B20" s="285" t="s">
        <v>1516</v>
      </c>
      <c r="C20" s="254">
        <f>'[2]Mat of App'!C20</f>
        <v>0</v>
      </c>
      <c r="D20" s="254">
        <f>'[2]Mat of App'!D20</f>
        <v>0</v>
      </c>
      <c r="E20" s="254">
        <f>'[2]Mat of App'!E20</f>
        <v>0</v>
      </c>
      <c r="F20" s="254">
        <f>'[2]Mat of App'!F20</f>
        <v>0</v>
      </c>
      <c r="G20" s="254">
        <f>'[2]Mat of App'!G20</f>
        <v>0</v>
      </c>
      <c r="H20" s="254">
        <f>'[2]Mat of App'!H20</f>
        <v>0</v>
      </c>
      <c r="I20" s="254">
        <f>'[2]Mat of App'!I20</f>
        <v>1</v>
      </c>
      <c r="J20" s="254">
        <f>'[2]Mat of App'!J20</f>
        <v>0</v>
      </c>
      <c r="K20" s="255">
        <f t="shared" si="32"/>
        <v>0</v>
      </c>
      <c r="L20" s="255">
        <f t="shared" si="33"/>
        <v>0</v>
      </c>
      <c r="M20" s="255">
        <f t="shared" si="34"/>
        <v>0</v>
      </c>
      <c r="N20" s="255">
        <f t="shared" si="35"/>
        <v>0</v>
      </c>
      <c r="O20" s="255">
        <f t="shared" si="36"/>
        <v>0</v>
      </c>
      <c r="P20" s="255">
        <f t="shared" si="37"/>
        <v>0</v>
      </c>
      <c r="Q20" s="255">
        <f t="shared" si="38"/>
        <v>1</v>
      </c>
      <c r="R20" s="255">
        <f t="shared" si="39"/>
        <v>0</v>
      </c>
      <c r="S20" s="255">
        <f t="shared" si="40"/>
        <v>0</v>
      </c>
      <c r="T20" s="255">
        <f t="shared" si="41"/>
        <v>0</v>
      </c>
      <c r="U20" s="255">
        <f t="shared" si="42"/>
        <v>0</v>
      </c>
      <c r="V20" s="255">
        <f t="shared" si="43"/>
        <v>0</v>
      </c>
      <c r="W20" s="255">
        <f t="shared" si="44"/>
        <v>0</v>
      </c>
      <c r="X20" s="255">
        <f t="shared" si="45"/>
        <v>0</v>
      </c>
      <c r="Y20" s="255">
        <f t="shared" si="46"/>
        <v>1</v>
      </c>
      <c r="Z20" s="255">
        <f t="shared" si="47"/>
        <v>0</v>
      </c>
      <c r="AA20" s="255">
        <f t="shared" si="48"/>
        <v>0</v>
      </c>
      <c r="AB20" s="255">
        <f t="shared" si="49"/>
        <v>0</v>
      </c>
      <c r="AC20" s="255">
        <f t="shared" si="50"/>
        <v>0</v>
      </c>
      <c r="AD20" s="255">
        <f t="shared" si="51"/>
        <v>0</v>
      </c>
      <c r="AE20" s="255">
        <f t="shared" si="52"/>
        <v>0</v>
      </c>
      <c r="AF20" s="255">
        <f t="shared" si="53"/>
        <v>0</v>
      </c>
      <c r="AG20" s="255">
        <f t="shared" si="54"/>
        <v>1</v>
      </c>
      <c r="AH20" s="255">
        <f t="shared" si="55"/>
        <v>0</v>
      </c>
      <c r="AI20" s="255">
        <f t="shared" si="56"/>
        <v>0</v>
      </c>
      <c r="AJ20" s="255">
        <f t="shared" si="57"/>
        <v>0</v>
      </c>
      <c r="AK20" s="255">
        <f t="shared" si="58"/>
        <v>0</v>
      </c>
      <c r="AL20" s="255">
        <f t="shared" si="59"/>
        <v>0</v>
      </c>
      <c r="AM20" s="255">
        <f t="shared" si="60"/>
        <v>0</v>
      </c>
      <c r="AN20" s="255">
        <f t="shared" si="61"/>
        <v>0</v>
      </c>
      <c r="AO20" s="255">
        <f t="shared" si="62"/>
        <v>1</v>
      </c>
      <c r="AP20" s="255">
        <f t="shared" si="63"/>
        <v>0</v>
      </c>
    </row>
    <row r="21" spans="2:42" ht="15">
      <c r="B21" s="285" t="s">
        <v>64</v>
      </c>
      <c r="C21" s="254">
        <f>'[2]Mat of App'!C21</f>
        <v>0</v>
      </c>
      <c r="D21" s="254">
        <f>'[2]Mat of App'!D21</f>
        <v>0</v>
      </c>
      <c r="E21" s="254">
        <f>'[2]Mat of App'!E21</f>
        <v>0</v>
      </c>
      <c r="F21" s="254">
        <f>'[2]Mat of App'!F21</f>
        <v>0</v>
      </c>
      <c r="G21" s="254">
        <f>'[2]Mat of App'!G21</f>
        <v>0</v>
      </c>
      <c r="H21" s="254">
        <f>'[2]Mat of App'!H21</f>
        <v>0</v>
      </c>
      <c r="I21" s="254">
        <f>'[2]Mat of App'!I21</f>
        <v>0</v>
      </c>
      <c r="J21" s="254">
        <f>'[2]Mat of App'!J21</f>
        <v>0</v>
      </c>
      <c r="K21" s="255">
        <f t="shared" si="32"/>
        <v>0</v>
      </c>
      <c r="L21" s="255">
        <f t="shared" si="33"/>
        <v>0</v>
      </c>
      <c r="M21" s="255">
        <f t="shared" si="34"/>
        <v>0</v>
      </c>
      <c r="N21" s="255">
        <f t="shared" si="35"/>
        <v>0</v>
      </c>
      <c r="O21" s="255">
        <f t="shared" si="36"/>
        <v>0</v>
      </c>
      <c r="P21" s="255">
        <f t="shared" si="37"/>
        <v>0</v>
      </c>
      <c r="Q21" s="255">
        <f t="shared" si="38"/>
        <v>0</v>
      </c>
      <c r="R21" s="255">
        <f t="shared" si="39"/>
        <v>0</v>
      </c>
      <c r="S21" s="255">
        <f t="shared" si="40"/>
        <v>0</v>
      </c>
      <c r="T21" s="255">
        <f t="shared" si="41"/>
        <v>0</v>
      </c>
      <c r="U21" s="255">
        <f t="shared" si="42"/>
        <v>0</v>
      </c>
      <c r="V21" s="255">
        <f t="shared" si="43"/>
        <v>0</v>
      </c>
      <c r="W21" s="255">
        <f t="shared" si="44"/>
        <v>0</v>
      </c>
      <c r="X21" s="255">
        <f t="shared" si="45"/>
        <v>0</v>
      </c>
      <c r="Y21" s="255">
        <f t="shared" si="46"/>
        <v>0</v>
      </c>
      <c r="Z21" s="255">
        <f t="shared" si="47"/>
        <v>0</v>
      </c>
      <c r="AA21" s="255">
        <f t="shared" si="48"/>
        <v>0</v>
      </c>
      <c r="AB21" s="255">
        <f t="shared" si="49"/>
        <v>0</v>
      </c>
      <c r="AC21" s="255">
        <f t="shared" si="50"/>
        <v>0</v>
      </c>
      <c r="AD21" s="255">
        <f t="shared" si="51"/>
        <v>0</v>
      </c>
      <c r="AE21" s="255">
        <f t="shared" si="52"/>
        <v>0</v>
      </c>
      <c r="AF21" s="255">
        <f t="shared" si="53"/>
        <v>0</v>
      </c>
      <c r="AG21" s="255">
        <f t="shared" si="54"/>
        <v>0</v>
      </c>
      <c r="AH21" s="255">
        <f t="shared" si="55"/>
        <v>0</v>
      </c>
      <c r="AI21" s="255">
        <f t="shared" si="56"/>
        <v>0</v>
      </c>
      <c r="AJ21" s="255">
        <f t="shared" si="57"/>
        <v>0</v>
      </c>
      <c r="AK21" s="255">
        <f t="shared" si="58"/>
        <v>0</v>
      </c>
      <c r="AL21" s="255">
        <f t="shared" si="59"/>
        <v>0</v>
      </c>
      <c r="AM21" s="255">
        <f t="shared" si="60"/>
        <v>0</v>
      </c>
      <c r="AN21" s="255">
        <f t="shared" si="61"/>
        <v>0</v>
      </c>
      <c r="AO21" s="255">
        <f t="shared" si="62"/>
        <v>0</v>
      </c>
      <c r="AP21" s="255">
        <f t="shared" si="63"/>
        <v>0</v>
      </c>
    </row>
    <row r="22" spans="2:42" ht="15">
      <c r="B22" s="285" t="s">
        <v>1517</v>
      </c>
      <c r="C22" s="254">
        <f>'[2]Mat of App'!C22</f>
        <v>0</v>
      </c>
      <c r="D22" s="254">
        <f>'[2]Mat of App'!D22</f>
        <v>0</v>
      </c>
      <c r="E22" s="254">
        <f>'[2]Mat of App'!E22</f>
        <v>0</v>
      </c>
      <c r="F22" s="254">
        <f>'[2]Mat of App'!F22</f>
        <v>0</v>
      </c>
      <c r="G22" s="254">
        <f>'[2]Mat of App'!G22</f>
        <v>0</v>
      </c>
      <c r="H22" s="254">
        <f>'[2]Mat of App'!H22</f>
        <v>0</v>
      </c>
      <c r="I22" s="254">
        <f>'[2]Mat of App'!I22</f>
        <v>0</v>
      </c>
      <c r="J22" s="254">
        <f>'[2]Mat of App'!J22</f>
        <v>0</v>
      </c>
      <c r="K22" s="255">
        <f t="shared" si="32"/>
        <v>0</v>
      </c>
      <c r="L22" s="255">
        <f t="shared" si="33"/>
        <v>0</v>
      </c>
      <c r="M22" s="255">
        <f t="shared" si="34"/>
        <v>0</v>
      </c>
      <c r="N22" s="255">
        <f t="shared" si="35"/>
        <v>0</v>
      </c>
      <c r="O22" s="255">
        <f t="shared" si="36"/>
        <v>0</v>
      </c>
      <c r="P22" s="255">
        <f t="shared" si="37"/>
        <v>0</v>
      </c>
      <c r="Q22" s="255">
        <f t="shared" si="38"/>
        <v>0</v>
      </c>
      <c r="R22" s="255">
        <f t="shared" si="39"/>
        <v>0</v>
      </c>
      <c r="S22" s="255">
        <f t="shared" si="40"/>
        <v>0</v>
      </c>
      <c r="T22" s="255">
        <f t="shared" si="41"/>
        <v>0</v>
      </c>
      <c r="U22" s="255">
        <f t="shared" si="42"/>
        <v>0</v>
      </c>
      <c r="V22" s="255">
        <f t="shared" si="43"/>
        <v>0</v>
      </c>
      <c r="W22" s="255">
        <f t="shared" si="44"/>
        <v>0</v>
      </c>
      <c r="X22" s="255">
        <f t="shared" si="45"/>
        <v>0</v>
      </c>
      <c r="Y22" s="255">
        <f t="shared" si="46"/>
        <v>0</v>
      </c>
      <c r="Z22" s="255">
        <f t="shared" si="47"/>
        <v>0</v>
      </c>
      <c r="AA22" s="255">
        <f t="shared" si="48"/>
        <v>0</v>
      </c>
      <c r="AB22" s="255">
        <f t="shared" si="49"/>
        <v>0</v>
      </c>
      <c r="AC22" s="255">
        <f t="shared" si="50"/>
        <v>0</v>
      </c>
      <c r="AD22" s="255">
        <f t="shared" si="51"/>
        <v>0</v>
      </c>
      <c r="AE22" s="255">
        <f t="shared" si="52"/>
        <v>0</v>
      </c>
      <c r="AF22" s="255">
        <f t="shared" si="53"/>
        <v>0</v>
      </c>
      <c r="AG22" s="255">
        <f t="shared" si="54"/>
        <v>0</v>
      </c>
      <c r="AH22" s="255">
        <f t="shared" si="55"/>
        <v>0</v>
      </c>
      <c r="AI22" s="255">
        <f t="shared" si="56"/>
        <v>0</v>
      </c>
      <c r="AJ22" s="255">
        <f t="shared" si="57"/>
        <v>0</v>
      </c>
      <c r="AK22" s="255">
        <f t="shared" si="58"/>
        <v>0</v>
      </c>
      <c r="AL22" s="255">
        <f t="shared" si="59"/>
        <v>0</v>
      </c>
      <c r="AM22" s="255">
        <f t="shared" si="60"/>
        <v>0</v>
      </c>
      <c r="AN22" s="255">
        <f t="shared" si="61"/>
        <v>0</v>
      </c>
      <c r="AO22" s="255">
        <f t="shared" si="62"/>
        <v>0</v>
      </c>
      <c r="AP22" s="255">
        <f t="shared" si="63"/>
        <v>0</v>
      </c>
    </row>
    <row r="23" spans="2:42" ht="15">
      <c r="B23" s="285" t="s">
        <v>65</v>
      </c>
      <c r="C23" s="254">
        <f>'[2]Mat of App'!C23</f>
        <v>0</v>
      </c>
      <c r="D23" s="254">
        <f>'[2]Mat of App'!D23</f>
        <v>0</v>
      </c>
      <c r="E23" s="254">
        <f>'[2]Mat of App'!E23</f>
        <v>0</v>
      </c>
      <c r="F23" s="254">
        <f>'[2]Mat of App'!F23</f>
        <v>0</v>
      </c>
      <c r="G23" s="254">
        <f>'[2]Mat of App'!G23</f>
        <v>0</v>
      </c>
      <c r="H23" s="254">
        <f>'[2]Mat of App'!H23</f>
        <v>0</v>
      </c>
      <c r="I23" s="254">
        <f>'[2]Mat of App'!I23</f>
        <v>0</v>
      </c>
      <c r="J23" s="254">
        <f>'[2]Mat of App'!J23</f>
        <v>0</v>
      </c>
      <c r="K23" s="255">
        <f t="shared" si="32"/>
        <v>0</v>
      </c>
      <c r="L23" s="255">
        <f t="shared" si="33"/>
        <v>0</v>
      </c>
      <c r="M23" s="255">
        <f t="shared" si="34"/>
        <v>0</v>
      </c>
      <c r="N23" s="255">
        <f t="shared" si="35"/>
        <v>0</v>
      </c>
      <c r="O23" s="255">
        <f t="shared" si="36"/>
        <v>0</v>
      </c>
      <c r="P23" s="255">
        <f t="shared" si="37"/>
        <v>0</v>
      </c>
      <c r="Q23" s="255">
        <f t="shared" si="38"/>
        <v>0</v>
      </c>
      <c r="R23" s="255">
        <f t="shared" si="39"/>
        <v>0</v>
      </c>
      <c r="S23" s="255">
        <f t="shared" si="40"/>
        <v>0</v>
      </c>
      <c r="T23" s="255">
        <f t="shared" si="41"/>
        <v>0</v>
      </c>
      <c r="U23" s="255">
        <f t="shared" si="42"/>
        <v>0</v>
      </c>
      <c r="V23" s="255">
        <f t="shared" si="43"/>
        <v>0</v>
      </c>
      <c r="W23" s="255">
        <f t="shared" si="44"/>
        <v>0</v>
      </c>
      <c r="X23" s="255">
        <f t="shared" si="45"/>
        <v>0</v>
      </c>
      <c r="Y23" s="255">
        <f t="shared" si="46"/>
        <v>0</v>
      </c>
      <c r="Z23" s="255">
        <f t="shared" si="47"/>
        <v>0</v>
      </c>
      <c r="AA23" s="255">
        <f t="shared" si="48"/>
        <v>0</v>
      </c>
      <c r="AB23" s="255">
        <f t="shared" si="49"/>
        <v>0</v>
      </c>
      <c r="AC23" s="255">
        <f t="shared" si="50"/>
        <v>0</v>
      </c>
      <c r="AD23" s="255">
        <f t="shared" si="51"/>
        <v>0</v>
      </c>
      <c r="AE23" s="255">
        <f t="shared" si="52"/>
        <v>0</v>
      </c>
      <c r="AF23" s="255">
        <f t="shared" si="53"/>
        <v>0</v>
      </c>
      <c r="AG23" s="255">
        <f t="shared" si="54"/>
        <v>0</v>
      </c>
      <c r="AH23" s="255">
        <f t="shared" si="55"/>
        <v>0</v>
      </c>
      <c r="AI23" s="255">
        <f t="shared" si="56"/>
        <v>0</v>
      </c>
      <c r="AJ23" s="255">
        <f t="shared" si="57"/>
        <v>0</v>
      </c>
      <c r="AK23" s="255">
        <f t="shared" si="58"/>
        <v>0</v>
      </c>
      <c r="AL23" s="255">
        <f t="shared" si="59"/>
        <v>0</v>
      </c>
      <c r="AM23" s="255">
        <f t="shared" si="60"/>
        <v>0</v>
      </c>
      <c r="AN23" s="255">
        <f t="shared" si="61"/>
        <v>0</v>
      </c>
      <c r="AO23" s="255">
        <f t="shared" si="62"/>
        <v>0</v>
      </c>
      <c r="AP23" s="255">
        <f t="shared" si="63"/>
        <v>0</v>
      </c>
    </row>
    <row r="24" spans="2:42" ht="15">
      <c r="B24" s="285" t="s">
        <v>1518</v>
      </c>
      <c r="C24" s="254">
        <f>'[2]Mat of App'!C24</f>
        <v>0</v>
      </c>
      <c r="D24" s="254">
        <f>'[2]Mat of App'!D24</f>
        <v>0</v>
      </c>
      <c r="E24" s="254">
        <f>'[2]Mat of App'!E24</f>
        <v>0</v>
      </c>
      <c r="F24" s="254">
        <f>'[2]Mat of App'!F24</f>
        <v>0</v>
      </c>
      <c r="G24" s="254">
        <f>'[2]Mat of App'!G24</f>
        <v>0</v>
      </c>
      <c r="H24" s="254">
        <f>'[2]Mat of App'!H24</f>
        <v>0</v>
      </c>
      <c r="I24" s="254">
        <f>'[2]Mat of App'!I24</f>
        <v>0</v>
      </c>
      <c r="J24" s="254">
        <f>'[2]Mat of App'!J24</f>
        <v>0</v>
      </c>
      <c r="K24" s="255">
        <f t="shared" si="32"/>
        <v>0</v>
      </c>
      <c r="L24" s="255">
        <f t="shared" si="33"/>
        <v>0</v>
      </c>
      <c r="M24" s="255">
        <f t="shared" si="34"/>
        <v>0</v>
      </c>
      <c r="N24" s="255">
        <f t="shared" si="35"/>
        <v>0</v>
      </c>
      <c r="O24" s="255">
        <f t="shared" si="36"/>
        <v>0</v>
      </c>
      <c r="P24" s="255">
        <f t="shared" si="37"/>
        <v>0</v>
      </c>
      <c r="Q24" s="255">
        <f t="shared" si="38"/>
        <v>0</v>
      </c>
      <c r="R24" s="255">
        <f t="shared" si="39"/>
        <v>0</v>
      </c>
      <c r="S24" s="255">
        <f t="shared" si="40"/>
        <v>0</v>
      </c>
      <c r="T24" s="255">
        <f t="shared" si="41"/>
        <v>0</v>
      </c>
      <c r="U24" s="255">
        <f t="shared" si="42"/>
        <v>0</v>
      </c>
      <c r="V24" s="255">
        <f t="shared" si="43"/>
        <v>0</v>
      </c>
      <c r="W24" s="255">
        <f t="shared" si="44"/>
        <v>0</v>
      </c>
      <c r="X24" s="255">
        <f t="shared" si="45"/>
        <v>0</v>
      </c>
      <c r="Y24" s="255">
        <f t="shared" si="46"/>
        <v>0</v>
      </c>
      <c r="Z24" s="255">
        <f t="shared" si="47"/>
        <v>0</v>
      </c>
      <c r="AA24" s="255">
        <f t="shared" si="48"/>
        <v>0</v>
      </c>
      <c r="AB24" s="255">
        <f t="shared" si="49"/>
        <v>0</v>
      </c>
      <c r="AC24" s="255">
        <f t="shared" si="50"/>
        <v>0</v>
      </c>
      <c r="AD24" s="255">
        <f t="shared" si="51"/>
        <v>0</v>
      </c>
      <c r="AE24" s="255">
        <f t="shared" si="52"/>
        <v>0</v>
      </c>
      <c r="AF24" s="255">
        <f t="shared" si="53"/>
        <v>0</v>
      </c>
      <c r="AG24" s="255">
        <f t="shared" si="54"/>
        <v>0</v>
      </c>
      <c r="AH24" s="255">
        <f t="shared" si="55"/>
        <v>0</v>
      </c>
      <c r="AI24" s="255">
        <f t="shared" si="56"/>
        <v>0</v>
      </c>
      <c r="AJ24" s="255">
        <f t="shared" si="57"/>
        <v>0</v>
      </c>
      <c r="AK24" s="255">
        <f t="shared" si="58"/>
        <v>0</v>
      </c>
      <c r="AL24" s="255">
        <f t="shared" si="59"/>
        <v>0</v>
      </c>
      <c r="AM24" s="255">
        <f t="shared" si="60"/>
        <v>0</v>
      </c>
      <c r="AN24" s="255">
        <f t="shared" si="61"/>
        <v>0</v>
      </c>
      <c r="AO24" s="255">
        <f t="shared" si="62"/>
        <v>0</v>
      </c>
      <c r="AP24" s="255">
        <f t="shared" si="63"/>
        <v>0</v>
      </c>
    </row>
    <row r="25" spans="2:42" ht="15">
      <c r="B25" s="285" t="s">
        <v>66</v>
      </c>
      <c r="C25" s="254">
        <f>'[2]Mat of App'!C25</f>
        <v>0</v>
      </c>
      <c r="D25" s="254">
        <f>'[2]Mat of App'!D25</f>
        <v>0</v>
      </c>
      <c r="E25" s="254">
        <f>'[2]Mat of App'!E25</f>
        <v>0</v>
      </c>
      <c r="F25" s="254">
        <f>'[2]Mat of App'!F25</f>
        <v>0</v>
      </c>
      <c r="G25" s="254">
        <f>'[2]Mat of App'!G25</f>
        <v>0</v>
      </c>
      <c r="H25" s="254">
        <f>'[2]Mat of App'!H25</f>
        <v>0</v>
      </c>
      <c r="I25" s="254">
        <f>'[2]Mat of App'!I25</f>
        <v>0</v>
      </c>
      <c r="J25" s="254">
        <f>'[2]Mat of App'!J25</f>
        <v>0</v>
      </c>
      <c r="K25" s="255">
        <f t="shared" si="32"/>
        <v>0</v>
      </c>
      <c r="L25" s="255">
        <f t="shared" si="33"/>
        <v>0</v>
      </c>
      <c r="M25" s="255">
        <f t="shared" si="34"/>
        <v>0</v>
      </c>
      <c r="N25" s="255">
        <f t="shared" si="35"/>
        <v>0</v>
      </c>
      <c r="O25" s="255">
        <f t="shared" si="36"/>
        <v>0</v>
      </c>
      <c r="P25" s="255">
        <f t="shared" si="37"/>
        <v>0</v>
      </c>
      <c r="Q25" s="255">
        <f t="shared" si="38"/>
        <v>0</v>
      </c>
      <c r="R25" s="255">
        <f t="shared" si="39"/>
        <v>0</v>
      </c>
      <c r="S25" s="255">
        <f t="shared" si="40"/>
        <v>0</v>
      </c>
      <c r="T25" s="255">
        <f t="shared" si="41"/>
        <v>0</v>
      </c>
      <c r="U25" s="255">
        <f t="shared" si="42"/>
        <v>0</v>
      </c>
      <c r="V25" s="255">
        <f t="shared" si="43"/>
        <v>0</v>
      </c>
      <c r="W25" s="255">
        <f t="shared" si="44"/>
        <v>0</v>
      </c>
      <c r="X25" s="255">
        <f t="shared" si="45"/>
        <v>0</v>
      </c>
      <c r="Y25" s="255">
        <f t="shared" si="46"/>
        <v>0</v>
      </c>
      <c r="Z25" s="255">
        <f t="shared" si="47"/>
        <v>0</v>
      </c>
      <c r="AA25" s="255">
        <f t="shared" si="48"/>
        <v>0</v>
      </c>
      <c r="AB25" s="255">
        <f t="shared" si="49"/>
        <v>0</v>
      </c>
      <c r="AC25" s="255">
        <f t="shared" si="50"/>
        <v>0</v>
      </c>
      <c r="AD25" s="255">
        <f t="shared" si="51"/>
        <v>0</v>
      </c>
      <c r="AE25" s="255">
        <f t="shared" si="52"/>
        <v>0</v>
      </c>
      <c r="AF25" s="255">
        <f t="shared" si="53"/>
        <v>0</v>
      </c>
      <c r="AG25" s="255">
        <f t="shared" si="54"/>
        <v>0</v>
      </c>
      <c r="AH25" s="255">
        <f t="shared" si="55"/>
        <v>0</v>
      </c>
      <c r="AI25" s="255">
        <f t="shared" si="56"/>
        <v>0</v>
      </c>
      <c r="AJ25" s="255">
        <f t="shared" si="57"/>
        <v>0</v>
      </c>
      <c r="AK25" s="255">
        <f t="shared" si="58"/>
        <v>0</v>
      </c>
      <c r="AL25" s="255">
        <f t="shared" si="59"/>
        <v>0</v>
      </c>
      <c r="AM25" s="255">
        <f t="shared" si="60"/>
        <v>0</v>
      </c>
      <c r="AN25" s="255">
        <f t="shared" si="61"/>
        <v>0</v>
      </c>
      <c r="AO25" s="255">
        <f t="shared" si="62"/>
        <v>0</v>
      </c>
      <c r="AP25" s="255">
        <f t="shared" si="63"/>
        <v>0</v>
      </c>
    </row>
    <row r="26" spans="2:42" ht="15">
      <c r="B26" s="285" t="s">
        <v>1519</v>
      </c>
      <c r="C26" s="254">
        <f>'[2]Mat of App'!C26</f>
        <v>0</v>
      </c>
      <c r="D26" s="254">
        <f>'[2]Mat of App'!D26</f>
        <v>0</v>
      </c>
      <c r="E26" s="254">
        <f>'[2]Mat of App'!E26</f>
        <v>0</v>
      </c>
      <c r="F26" s="254">
        <f>'[2]Mat of App'!F26</f>
        <v>0</v>
      </c>
      <c r="G26" s="254">
        <f>'[2]Mat of App'!G26</f>
        <v>0</v>
      </c>
      <c r="H26" s="254">
        <f>'[2]Mat of App'!H26</f>
        <v>0</v>
      </c>
      <c r="I26" s="254">
        <f>'[2]Mat of App'!I26</f>
        <v>0</v>
      </c>
      <c r="J26" s="254">
        <f>'[2]Mat of App'!J26</f>
        <v>0</v>
      </c>
      <c r="K26" s="255">
        <f t="shared" si="32"/>
        <v>0</v>
      </c>
      <c r="L26" s="255">
        <f t="shared" si="33"/>
        <v>0</v>
      </c>
      <c r="M26" s="255">
        <f t="shared" si="34"/>
        <v>0</v>
      </c>
      <c r="N26" s="255">
        <f t="shared" si="35"/>
        <v>0</v>
      </c>
      <c r="O26" s="255">
        <f t="shared" si="36"/>
        <v>0</v>
      </c>
      <c r="P26" s="255">
        <f t="shared" si="37"/>
        <v>0</v>
      </c>
      <c r="Q26" s="255">
        <f t="shared" si="38"/>
        <v>0</v>
      </c>
      <c r="R26" s="255">
        <f t="shared" si="39"/>
        <v>0</v>
      </c>
      <c r="S26" s="255">
        <f t="shared" si="40"/>
        <v>0</v>
      </c>
      <c r="T26" s="255">
        <f t="shared" si="41"/>
        <v>0</v>
      </c>
      <c r="U26" s="255">
        <f t="shared" si="42"/>
        <v>0</v>
      </c>
      <c r="V26" s="255">
        <f t="shared" si="43"/>
        <v>0</v>
      </c>
      <c r="W26" s="255">
        <f t="shared" si="44"/>
        <v>0</v>
      </c>
      <c r="X26" s="255">
        <f t="shared" si="45"/>
        <v>0</v>
      </c>
      <c r="Y26" s="255">
        <f t="shared" si="46"/>
        <v>0</v>
      </c>
      <c r="Z26" s="255">
        <f t="shared" si="47"/>
        <v>0</v>
      </c>
      <c r="AA26" s="255">
        <f t="shared" si="48"/>
        <v>0</v>
      </c>
      <c r="AB26" s="255">
        <f t="shared" si="49"/>
        <v>0</v>
      </c>
      <c r="AC26" s="255">
        <f t="shared" si="50"/>
        <v>0</v>
      </c>
      <c r="AD26" s="255">
        <f t="shared" si="51"/>
        <v>0</v>
      </c>
      <c r="AE26" s="255">
        <f t="shared" si="52"/>
        <v>0</v>
      </c>
      <c r="AF26" s="255">
        <f t="shared" si="53"/>
        <v>0</v>
      </c>
      <c r="AG26" s="255">
        <f t="shared" si="54"/>
        <v>0</v>
      </c>
      <c r="AH26" s="255">
        <f t="shared" si="55"/>
        <v>0</v>
      </c>
      <c r="AI26" s="255">
        <f t="shared" si="56"/>
        <v>0</v>
      </c>
      <c r="AJ26" s="255">
        <f t="shared" si="57"/>
        <v>0</v>
      </c>
      <c r="AK26" s="255">
        <f t="shared" si="58"/>
        <v>0</v>
      </c>
      <c r="AL26" s="255">
        <f t="shared" si="59"/>
        <v>0</v>
      </c>
      <c r="AM26" s="255">
        <f t="shared" si="60"/>
        <v>0</v>
      </c>
      <c r="AN26" s="255">
        <f t="shared" si="61"/>
        <v>0</v>
      </c>
      <c r="AO26" s="255">
        <f t="shared" si="62"/>
        <v>0</v>
      </c>
      <c r="AP26" s="255">
        <f t="shared" si="63"/>
        <v>0</v>
      </c>
    </row>
    <row r="28" spans="2:42" ht="15.75">
      <c r="B28" s="142" t="s">
        <v>67</v>
      </c>
    </row>
    <row r="29" spans="2:42" ht="14.25">
      <c r="B29" s="168"/>
    </row>
    <row r="30" spans="2:42" ht="13.5" thickBot="1">
      <c r="B30" s="26" t="s">
        <v>68</v>
      </c>
    </row>
    <row r="31" spans="2:42">
      <c r="B31" s="26" t="s">
        <v>69</v>
      </c>
      <c r="C31" s="344" t="str">
        <f>'CDCM Forecast Data'!$E$11</f>
        <v>2018/19</v>
      </c>
      <c r="D31" s="345"/>
      <c r="E31" s="345"/>
      <c r="F31" s="345"/>
      <c r="G31" s="345"/>
      <c r="H31" s="345"/>
      <c r="I31" s="345"/>
      <c r="J31" s="346"/>
      <c r="K31" s="344" t="str">
        <f>'CDCM Forecast Data'!$F$11</f>
        <v>2019/20</v>
      </c>
      <c r="L31" s="345"/>
      <c r="M31" s="345"/>
      <c r="N31" s="345"/>
      <c r="O31" s="345"/>
      <c r="P31" s="345"/>
      <c r="Q31" s="345"/>
      <c r="R31" s="346"/>
      <c r="S31" s="344" t="str">
        <f>'CDCM Forecast Data'!$G$11</f>
        <v>2020/21</v>
      </c>
      <c r="T31" s="345"/>
      <c r="U31" s="345"/>
      <c r="V31" s="345"/>
      <c r="W31" s="345"/>
      <c r="X31" s="345"/>
      <c r="Y31" s="345"/>
      <c r="Z31" s="346"/>
      <c r="AA31" s="344" t="str">
        <f>'CDCM Forecast Data'!$H$11</f>
        <v>2021/22</v>
      </c>
      <c r="AB31" s="345"/>
      <c r="AC31" s="345"/>
      <c r="AD31" s="345"/>
      <c r="AE31" s="345"/>
      <c r="AF31" s="345"/>
      <c r="AG31" s="345"/>
      <c r="AH31" s="346"/>
      <c r="AI31" s="344" t="str">
        <f>'CDCM Forecast Data'!$I$11</f>
        <v>2022/23</v>
      </c>
      <c r="AJ31" s="345"/>
      <c r="AK31" s="345"/>
      <c r="AL31" s="345"/>
      <c r="AM31" s="345"/>
      <c r="AN31" s="345"/>
      <c r="AO31" s="345"/>
      <c r="AP31" s="346"/>
    </row>
    <row r="32" spans="2:42" ht="38.25">
      <c r="C32" s="167" t="s">
        <v>37</v>
      </c>
      <c r="D32" s="166" t="s">
        <v>38</v>
      </c>
      <c r="E32" s="166" t="s">
        <v>39</v>
      </c>
      <c r="F32" s="166" t="s">
        <v>40</v>
      </c>
      <c r="G32" s="166" t="s">
        <v>41</v>
      </c>
      <c r="H32" s="166" t="s">
        <v>42</v>
      </c>
      <c r="I32" s="166" t="s">
        <v>43</v>
      </c>
      <c r="J32" s="165" t="s">
        <v>44</v>
      </c>
      <c r="K32" s="167" t="s">
        <v>37</v>
      </c>
      <c r="L32" s="166" t="s">
        <v>38</v>
      </c>
      <c r="M32" s="166" t="s">
        <v>39</v>
      </c>
      <c r="N32" s="166" t="s">
        <v>40</v>
      </c>
      <c r="O32" s="166" t="s">
        <v>41</v>
      </c>
      <c r="P32" s="166" t="s">
        <v>42</v>
      </c>
      <c r="Q32" s="166" t="s">
        <v>43</v>
      </c>
      <c r="R32" s="165" t="s">
        <v>44</v>
      </c>
      <c r="S32" s="167" t="s">
        <v>37</v>
      </c>
      <c r="T32" s="166" t="s">
        <v>38</v>
      </c>
      <c r="U32" s="166" t="s">
        <v>39</v>
      </c>
      <c r="V32" s="166" t="s">
        <v>40</v>
      </c>
      <c r="W32" s="166" t="s">
        <v>41</v>
      </c>
      <c r="X32" s="166" t="s">
        <v>42</v>
      </c>
      <c r="Y32" s="166" t="s">
        <v>43</v>
      </c>
      <c r="Z32" s="165" t="s">
        <v>44</v>
      </c>
      <c r="AA32" s="167" t="s">
        <v>37</v>
      </c>
      <c r="AB32" s="166" t="s">
        <v>38</v>
      </c>
      <c r="AC32" s="166" t="s">
        <v>39</v>
      </c>
      <c r="AD32" s="166" t="s">
        <v>40</v>
      </c>
      <c r="AE32" s="166" t="s">
        <v>41</v>
      </c>
      <c r="AF32" s="166" t="s">
        <v>42</v>
      </c>
      <c r="AG32" s="166" t="s">
        <v>43</v>
      </c>
      <c r="AH32" s="165" t="s">
        <v>44</v>
      </c>
      <c r="AI32" s="167" t="s">
        <v>37</v>
      </c>
      <c r="AJ32" s="166" t="s">
        <v>38</v>
      </c>
      <c r="AK32" s="166" t="s">
        <v>39</v>
      </c>
      <c r="AL32" s="166" t="s">
        <v>40</v>
      </c>
      <c r="AM32" s="166" t="s">
        <v>41</v>
      </c>
      <c r="AN32" s="166" t="s">
        <v>42</v>
      </c>
      <c r="AO32" s="166" t="s">
        <v>43</v>
      </c>
      <c r="AP32" s="165" t="s">
        <v>44</v>
      </c>
    </row>
    <row r="33" spans="2:42" ht="15">
      <c r="B33" s="164" t="s">
        <v>70</v>
      </c>
      <c r="C33" s="256">
        <f>'[2]Mat of App'!C33</f>
        <v>0</v>
      </c>
      <c r="D33" s="256">
        <f>'[2]Mat of App'!D33</f>
        <v>0</v>
      </c>
      <c r="E33" s="256">
        <f>'[2]Mat of App'!E33</f>
        <v>0</v>
      </c>
      <c r="F33" s="256">
        <f>'[2]Mat of App'!F33</f>
        <v>0</v>
      </c>
      <c r="G33" s="256">
        <f>'[2]Mat of App'!G33</f>
        <v>0</v>
      </c>
      <c r="H33" s="256">
        <f>'[2]Mat of App'!H33</f>
        <v>0</v>
      </c>
      <c r="I33" s="256">
        <f>'[2]Mat of App'!I33</f>
        <v>0</v>
      </c>
      <c r="J33" s="256">
        <f>'[2]Mat of App'!J33</f>
        <v>0.48799999999999999</v>
      </c>
      <c r="K33" s="257">
        <f t="shared" ref="K33:R33" si="64">C33</f>
        <v>0</v>
      </c>
      <c r="L33" s="257">
        <f t="shared" si="64"/>
        <v>0</v>
      </c>
      <c r="M33" s="257">
        <f t="shared" si="64"/>
        <v>0</v>
      </c>
      <c r="N33" s="257">
        <f t="shared" si="64"/>
        <v>0</v>
      </c>
      <c r="O33" s="257">
        <f t="shared" si="64"/>
        <v>0</v>
      </c>
      <c r="P33" s="257">
        <f t="shared" si="64"/>
        <v>0</v>
      </c>
      <c r="Q33" s="257">
        <f t="shared" si="64"/>
        <v>0</v>
      </c>
      <c r="R33" s="257">
        <f t="shared" si="64"/>
        <v>0.48799999999999999</v>
      </c>
      <c r="S33" s="257">
        <f t="shared" ref="S33" si="65">K33</f>
        <v>0</v>
      </c>
      <c r="T33" s="257">
        <f t="shared" ref="T33" si="66">L33</f>
        <v>0</v>
      </c>
      <c r="U33" s="257">
        <f t="shared" ref="U33" si="67">M33</f>
        <v>0</v>
      </c>
      <c r="V33" s="257">
        <f t="shared" ref="V33" si="68">N33</f>
        <v>0</v>
      </c>
      <c r="W33" s="257">
        <f t="shared" ref="W33" si="69">O33</f>
        <v>0</v>
      </c>
      <c r="X33" s="257">
        <f t="shared" ref="X33" si="70">P33</f>
        <v>0</v>
      </c>
      <c r="Y33" s="257">
        <f t="shared" ref="Y33" si="71">Q33</f>
        <v>0</v>
      </c>
      <c r="Z33" s="257">
        <f t="shared" ref="Z33" si="72">R33</f>
        <v>0.48799999999999999</v>
      </c>
      <c r="AA33" s="257">
        <f t="shared" ref="AA33" si="73">S33</f>
        <v>0</v>
      </c>
      <c r="AB33" s="257">
        <f t="shared" ref="AB33" si="74">T33</f>
        <v>0</v>
      </c>
      <c r="AC33" s="257">
        <f t="shared" ref="AC33" si="75">U33</f>
        <v>0</v>
      </c>
      <c r="AD33" s="257">
        <f t="shared" ref="AD33" si="76">V33</f>
        <v>0</v>
      </c>
      <c r="AE33" s="257">
        <f t="shared" ref="AE33" si="77">W33</f>
        <v>0</v>
      </c>
      <c r="AF33" s="257">
        <f t="shared" ref="AF33" si="78">X33</f>
        <v>0</v>
      </c>
      <c r="AG33" s="257">
        <f t="shared" ref="AG33" si="79">Y33</f>
        <v>0</v>
      </c>
      <c r="AH33" s="257">
        <f t="shared" ref="AH33" si="80">Z33</f>
        <v>0.48799999999999999</v>
      </c>
      <c r="AI33" s="257">
        <f t="shared" ref="AI33" si="81">AA33</f>
        <v>0</v>
      </c>
      <c r="AJ33" s="257">
        <f t="shared" ref="AJ33" si="82">AB33</f>
        <v>0</v>
      </c>
      <c r="AK33" s="257">
        <f t="shared" ref="AK33" si="83">AC33</f>
        <v>0</v>
      </c>
      <c r="AL33" s="257">
        <f t="shared" ref="AL33" si="84">AD33</f>
        <v>0</v>
      </c>
      <c r="AM33" s="257">
        <f t="shared" ref="AM33" si="85">AE33</f>
        <v>0</v>
      </c>
      <c r="AN33" s="257">
        <f t="shared" ref="AN33" si="86">AF33</f>
        <v>0</v>
      </c>
      <c r="AO33" s="257">
        <f t="shared" ref="AO33" si="87">AG33</f>
        <v>0</v>
      </c>
      <c r="AP33" s="257">
        <f t="shared" ref="AP33" si="88">AH33</f>
        <v>0.48799999999999999</v>
      </c>
    </row>
    <row r="35" spans="2:42" ht="16.5" thickBot="1">
      <c r="B35" s="142" t="s">
        <v>71</v>
      </c>
    </row>
    <row r="36" spans="2:42" ht="15.75">
      <c r="B36" s="142"/>
      <c r="C36" s="347" t="str">
        <f>'CDCM Forecast Data'!$E$11</f>
        <v>2018/19</v>
      </c>
      <c r="D36" s="348"/>
      <c r="E36" s="348"/>
      <c r="F36" s="348"/>
      <c r="G36" s="349"/>
      <c r="H36" s="347" t="str">
        <f>+'CDCM Forecast Data'!F11</f>
        <v>2019/20</v>
      </c>
      <c r="I36" s="348"/>
      <c r="J36" s="348"/>
      <c r="K36" s="348"/>
      <c r="L36" s="349"/>
      <c r="M36" s="347" t="str">
        <f>+'CDCM Forecast Data'!G11</f>
        <v>2020/21</v>
      </c>
      <c r="N36" s="348"/>
      <c r="O36" s="348"/>
      <c r="P36" s="348"/>
      <c r="Q36" s="349"/>
      <c r="R36" s="347" t="str">
        <f>+'CDCM Forecast Data'!H11</f>
        <v>2021/22</v>
      </c>
      <c r="S36" s="348"/>
      <c r="T36" s="348"/>
      <c r="U36" s="348"/>
      <c r="V36" s="349"/>
      <c r="W36" s="347" t="str">
        <f>+'CDCM Forecast Data'!I11</f>
        <v>2022/23</v>
      </c>
      <c r="X36" s="348"/>
      <c r="Y36" s="348"/>
      <c r="Z36" s="348"/>
      <c r="AA36" s="349"/>
    </row>
    <row r="37" spans="2:42" ht="42" customHeight="1">
      <c r="C37" s="167" t="s">
        <v>47</v>
      </c>
      <c r="D37" s="166" t="s">
        <v>48</v>
      </c>
      <c r="E37" s="166" t="s">
        <v>49</v>
      </c>
      <c r="F37" s="166" t="s">
        <v>50</v>
      </c>
      <c r="G37" s="165" t="s">
        <v>51</v>
      </c>
      <c r="H37" s="167" t="s">
        <v>47</v>
      </c>
      <c r="I37" s="166" t="s">
        <v>48</v>
      </c>
      <c r="J37" s="166" t="s">
        <v>49</v>
      </c>
      <c r="K37" s="166" t="s">
        <v>50</v>
      </c>
      <c r="L37" s="165" t="s">
        <v>51</v>
      </c>
      <c r="M37" s="167" t="s">
        <v>47</v>
      </c>
      <c r="N37" s="166" t="s">
        <v>48</v>
      </c>
      <c r="O37" s="166" t="s">
        <v>49</v>
      </c>
      <c r="P37" s="166" t="s">
        <v>50</v>
      </c>
      <c r="Q37" s="165" t="s">
        <v>51</v>
      </c>
      <c r="R37" s="167" t="s">
        <v>47</v>
      </c>
      <c r="S37" s="166" t="s">
        <v>48</v>
      </c>
      <c r="T37" s="166" t="s">
        <v>49</v>
      </c>
      <c r="U37" s="166" t="s">
        <v>50</v>
      </c>
      <c r="V37" s="165" t="s">
        <v>51</v>
      </c>
      <c r="W37" s="167" t="s">
        <v>47</v>
      </c>
      <c r="X37" s="166" t="s">
        <v>48</v>
      </c>
      <c r="Y37" s="166" t="s">
        <v>49</v>
      </c>
      <c r="Z37" s="166" t="s">
        <v>50</v>
      </c>
      <c r="AA37" s="165" t="s">
        <v>51</v>
      </c>
    </row>
    <row r="38" spans="2:42" ht="14.25" customHeight="1">
      <c r="B38" s="164" t="s">
        <v>72</v>
      </c>
      <c r="C38" s="254">
        <f>'[2]Mat of App'!C38</f>
        <v>1</v>
      </c>
      <c r="D38" s="254">
        <f>'[2]Mat of App'!D38</f>
        <v>0</v>
      </c>
      <c r="E38" s="254">
        <f>'[2]Mat of App'!E38</f>
        <v>0</v>
      </c>
      <c r="F38" s="254">
        <f>'[2]Mat of App'!F38</f>
        <v>0</v>
      </c>
      <c r="G38" s="254">
        <f>'[2]Mat of App'!G38</f>
        <v>0</v>
      </c>
      <c r="H38" s="255">
        <f t="shared" ref="H38" si="89">C38</f>
        <v>1</v>
      </c>
      <c r="I38" s="255">
        <f t="shared" ref="I38" si="90">D38</f>
        <v>0</v>
      </c>
      <c r="J38" s="255">
        <f t="shared" ref="J38" si="91">E38</f>
        <v>0</v>
      </c>
      <c r="K38" s="255">
        <f t="shared" ref="K38" si="92">F38</f>
        <v>0</v>
      </c>
      <c r="L38" s="255">
        <f t="shared" ref="L38" si="93">G38</f>
        <v>0</v>
      </c>
      <c r="M38" s="255">
        <f t="shared" ref="M38" si="94">H38</f>
        <v>1</v>
      </c>
      <c r="N38" s="255">
        <f t="shared" ref="N38" si="95">I38</f>
        <v>0</v>
      </c>
      <c r="O38" s="255">
        <f t="shared" ref="O38" si="96">J38</f>
        <v>0</v>
      </c>
      <c r="P38" s="255">
        <f t="shared" ref="P38" si="97">K38</f>
        <v>0</v>
      </c>
      <c r="Q38" s="255">
        <f t="shared" ref="Q38" si="98">L38</f>
        <v>0</v>
      </c>
      <c r="R38" s="255">
        <f t="shared" ref="R38" si="99">M38</f>
        <v>1</v>
      </c>
      <c r="S38" s="255">
        <f t="shared" ref="S38" si="100">N38</f>
        <v>0</v>
      </c>
      <c r="T38" s="255">
        <f t="shared" ref="T38" si="101">O38</f>
        <v>0</v>
      </c>
      <c r="U38" s="255">
        <f t="shared" ref="U38" si="102">P38</f>
        <v>0</v>
      </c>
      <c r="V38" s="255">
        <f t="shared" ref="V38" si="103">Q38</f>
        <v>0</v>
      </c>
      <c r="W38" s="255">
        <f t="shared" ref="W38" si="104">R38</f>
        <v>1</v>
      </c>
      <c r="X38" s="255">
        <f t="shared" ref="X38" si="105">S38</f>
        <v>0</v>
      </c>
      <c r="Y38" s="255">
        <f t="shared" ref="Y38" si="106">T38</f>
        <v>0</v>
      </c>
      <c r="Z38" s="255">
        <f t="shared" ref="Z38" si="107">U38</f>
        <v>0</v>
      </c>
      <c r="AA38" s="255">
        <f t="shared" ref="AA38" si="108">V38</f>
        <v>0</v>
      </c>
    </row>
    <row r="39" spans="2:42" ht="15.75" customHeight="1">
      <c r="B39" s="164" t="s">
        <v>73</v>
      </c>
      <c r="C39" s="254">
        <f>'[2]Mat of App'!C39</f>
        <v>1</v>
      </c>
      <c r="D39" s="254">
        <f>'[2]Mat of App'!D39</f>
        <v>0</v>
      </c>
      <c r="E39" s="254">
        <f>'[2]Mat of App'!E39</f>
        <v>0</v>
      </c>
      <c r="F39" s="254">
        <f>'[2]Mat of App'!F39</f>
        <v>0</v>
      </c>
      <c r="G39" s="254">
        <f>'[2]Mat of App'!G39</f>
        <v>0</v>
      </c>
      <c r="H39" s="255">
        <f t="shared" ref="H39:H43" si="109">C39</f>
        <v>1</v>
      </c>
      <c r="I39" s="255">
        <f t="shared" ref="I39:I43" si="110">D39</f>
        <v>0</v>
      </c>
      <c r="J39" s="255">
        <f t="shared" ref="J39:J43" si="111">E39</f>
        <v>0</v>
      </c>
      <c r="K39" s="255">
        <f t="shared" ref="K39:K43" si="112">F39</f>
        <v>0</v>
      </c>
      <c r="L39" s="255">
        <f t="shared" ref="L39:L43" si="113">G39</f>
        <v>0</v>
      </c>
      <c r="M39" s="255">
        <f t="shared" ref="M39:M43" si="114">H39</f>
        <v>1</v>
      </c>
      <c r="N39" s="255">
        <f t="shared" ref="N39:N43" si="115">I39</f>
        <v>0</v>
      </c>
      <c r="O39" s="255">
        <f t="shared" ref="O39:O43" si="116">J39</f>
        <v>0</v>
      </c>
      <c r="P39" s="255">
        <f t="shared" ref="P39:P43" si="117">K39</f>
        <v>0</v>
      </c>
      <c r="Q39" s="255">
        <f t="shared" ref="Q39:Q43" si="118">L39</f>
        <v>0</v>
      </c>
      <c r="R39" s="255">
        <f t="shared" ref="R39:R43" si="119">M39</f>
        <v>1</v>
      </c>
      <c r="S39" s="255">
        <f t="shared" ref="S39:S43" si="120">N39</f>
        <v>0</v>
      </c>
      <c r="T39" s="255">
        <f t="shared" ref="T39:T43" si="121">O39</f>
        <v>0</v>
      </c>
      <c r="U39" s="255">
        <f t="shared" ref="U39:U43" si="122">P39</f>
        <v>0</v>
      </c>
      <c r="V39" s="255">
        <f t="shared" ref="V39:V43" si="123">Q39</f>
        <v>0</v>
      </c>
      <c r="W39" s="255">
        <f t="shared" ref="W39:W43" si="124">R39</f>
        <v>1</v>
      </c>
      <c r="X39" s="255">
        <f t="shared" ref="X39:X43" si="125">S39</f>
        <v>0</v>
      </c>
      <c r="Y39" s="255">
        <f t="shared" ref="Y39:Y43" si="126">T39</f>
        <v>0</v>
      </c>
      <c r="Z39" s="255">
        <f t="shared" ref="Z39:Z43" si="127">U39</f>
        <v>0</v>
      </c>
      <c r="AA39" s="255">
        <f t="shared" ref="AA39:AA43" si="128">V39</f>
        <v>0</v>
      </c>
    </row>
    <row r="40" spans="2:42" ht="15">
      <c r="B40" s="8" t="s">
        <v>74</v>
      </c>
      <c r="C40" s="254">
        <f>'[2]Mat of App'!C40</f>
        <v>0</v>
      </c>
      <c r="D40" s="254">
        <f>'[2]Mat of App'!D40</f>
        <v>1</v>
      </c>
      <c r="E40" s="254">
        <f>'[2]Mat of App'!E40</f>
        <v>0</v>
      </c>
      <c r="F40" s="254">
        <f>'[2]Mat of App'!F40</f>
        <v>0</v>
      </c>
      <c r="G40" s="254">
        <f>'[2]Mat of App'!G40</f>
        <v>0</v>
      </c>
      <c r="H40" s="255">
        <f t="shared" si="109"/>
        <v>0</v>
      </c>
      <c r="I40" s="255">
        <f t="shared" si="110"/>
        <v>1</v>
      </c>
      <c r="J40" s="255">
        <f t="shared" si="111"/>
        <v>0</v>
      </c>
      <c r="K40" s="255">
        <f t="shared" si="112"/>
        <v>0</v>
      </c>
      <c r="L40" s="255">
        <f t="shared" si="113"/>
        <v>0</v>
      </c>
      <c r="M40" s="255">
        <f t="shared" si="114"/>
        <v>0</v>
      </c>
      <c r="N40" s="255">
        <f t="shared" si="115"/>
        <v>1</v>
      </c>
      <c r="O40" s="255">
        <f t="shared" si="116"/>
        <v>0</v>
      </c>
      <c r="P40" s="255">
        <f t="shared" si="117"/>
        <v>0</v>
      </c>
      <c r="Q40" s="255">
        <f t="shared" si="118"/>
        <v>0</v>
      </c>
      <c r="R40" s="255">
        <f t="shared" si="119"/>
        <v>0</v>
      </c>
      <c r="S40" s="255">
        <f t="shared" si="120"/>
        <v>1</v>
      </c>
      <c r="T40" s="255">
        <f t="shared" si="121"/>
        <v>0</v>
      </c>
      <c r="U40" s="255">
        <f t="shared" si="122"/>
        <v>0</v>
      </c>
      <c r="V40" s="255">
        <f t="shared" si="123"/>
        <v>0</v>
      </c>
      <c r="W40" s="255">
        <f t="shared" si="124"/>
        <v>0</v>
      </c>
      <c r="X40" s="255">
        <f t="shared" si="125"/>
        <v>1</v>
      </c>
      <c r="Y40" s="255">
        <f t="shared" si="126"/>
        <v>0</v>
      </c>
      <c r="Z40" s="255">
        <f t="shared" si="127"/>
        <v>0</v>
      </c>
      <c r="AA40" s="255">
        <f t="shared" si="128"/>
        <v>0</v>
      </c>
    </row>
    <row r="41" spans="2:42" ht="15">
      <c r="B41" s="8" t="s">
        <v>1520</v>
      </c>
      <c r="C41" s="254">
        <f>'[2]Mat of App'!C41</f>
        <v>0</v>
      </c>
      <c r="D41" s="254">
        <f>'[2]Mat of App'!D41</f>
        <v>1</v>
      </c>
      <c r="E41" s="254">
        <f>'[2]Mat of App'!E41</f>
        <v>0</v>
      </c>
      <c r="F41" s="254">
        <f>'[2]Mat of App'!F41</f>
        <v>0</v>
      </c>
      <c r="G41" s="254">
        <f>'[2]Mat of App'!G41</f>
        <v>0</v>
      </c>
      <c r="H41" s="255">
        <f t="shared" si="109"/>
        <v>0</v>
      </c>
      <c r="I41" s="255">
        <f t="shared" si="110"/>
        <v>1</v>
      </c>
      <c r="J41" s="255">
        <f t="shared" si="111"/>
        <v>0</v>
      </c>
      <c r="K41" s="255">
        <f t="shared" si="112"/>
        <v>0</v>
      </c>
      <c r="L41" s="255">
        <f t="shared" si="113"/>
        <v>0</v>
      </c>
      <c r="M41" s="255">
        <f t="shared" si="114"/>
        <v>0</v>
      </c>
      <c r="N41" s="255">
        <f t="shared" si="115"/>
        <v>1</v>
      </c>
      <c r="O41" s="255">
        <f t="shared" si="116"/>
        <v>0</v>
      </c>
      <c r="P41" s="255">
        <f t="shared" si="117"/>
        <v>0</v>
      </c>
      <c r="Q41" s="255">
        <f t="shared" si="118"/>
        <v>0</v>
      </c>
      <c r="R41" s="255">
        <f t="shared" si="119"/>
        <v>0</v>
      </c>
      <c r="S41" s="255">
        <f t="shared" si="120"/>
        <v>1</v>
      </c>
      <c r="T41" s="255">
        <f t="shared" si="121"/>
        <v>0</v>
      </c>
      <c r="U41" s="255">
        <f t="shared" si="122"/>
        <v>0</v>
      </c>
      <c r="V41" s="255">
        <f t="shared" si="123"/>
        <v>0</v>
      </c>
      <c r="W41" s="255">
        <f t="shared" si="124"/>
        <v>0</v>
      </c>
      <c r="X41" s="255">
        <f t="shared" si="125"/>
        <v>1</v>
      </c>
      <c r="Y41" s="255">
        <f t="shared" si="126"/>
        <v>0</v>
      </c>
      <c r="Z41" s="255">
        <f t="shared" si="127"/>
        <v>0</v>
      </c>
      <c r="AA41" s="255">
        <f t="shared" si="128"/>
        <v>0</v>
      </c>
    </row>
    <row r="42" spans="2:42" ht="15">
      <c r="B42" s="8" t="s">
        <v>75</v>
      </c>
      <c r="C42" s="254">
        <f>'[2]Mat of App'!C42</f>
        <v>0</v>
      </c>
      <c r="D42" s="254">
        <f>'[2]Mat of App'!D42</f>
        <v>1</v>
      </c>
      <c r="E42" s="254">
        <f>'[2]Mat of App'!E42</f>
        <v>0</v>
      </c>
      <c r="F42" s="254">
        <f>'[2]Mat of App'!F42</f>
        <v>0</v>
      </c>
      <c r="G42" s="254">
        <f>'[2]Mat of App'!G42</f>
        <v>0</v>
      </c>
      <c r="H42" s="255">
        <f t="shared" si="109"/>
        <v>0</v>
      </c>
      <c r="I42" s="255">
        <f t="shared" si="110"/>
        <v>1</v>
      </c>
      <c r="J42" s="255">
        <f t="shared" si="111"/>
        <v>0</v>
      </c>
      <c r="K42" s="255">
        <f t="shared" si="112"/>
        <v>0</v>
      </c>
      <c r="L42" s="255">
        <f t="shared" si="113"/>
        <v>0</v>
      </c>
      <c r="M42" s="255">
        <f t="shared" si="114"/>
        <v>0</v>
      </c>
      <c r="N42" s="255">
        <f t="shared" si="115"/>
        <v>1</v>
      </c>
      <c r="O42" s="255">
        <f t="shared" si="116"/>
        <v>0</v>
      </c>
      <c r="P42" s="255">
        <f t="shared" si="117"/>
        <v>0</v>
      </c>
      <c r="Q42" s="255">
        <f t="shared" si="118"/>
        <v>0</v>
      </c>
      <c r="R42" s="255">
        <f t="shared" si="119"/>
        <v>0</v>
      </c>
      <c r="S42" s="255">
        <f t="shared" si="120"/>
        <v>1</v>
      </c>
      <c r="T42" s="255">
        <f t="shared" si="121"/>
        <v>0</v>
      </c>
      <c r="U42" s="255">
        <f t="shared" si="122"/>
        <v>0</v>
      </c>
      <c r="V42" s="255">
        <f t="shared" si="123"/>
        <v>0</v>
      </c>
      <c r="W42" s="255">
        <f t="shared" si="124"/>
        <v>0</v>
      </c>
      <c r="X42" s="255">
        <f t="shared" si="125"/>
        <v>1</v>
      </c>
      <c r="Y42" s="255">
        <f t="shared" si="126"/>
        <v>0</v>
      </c>
      <c r="Z42" s="255">
        <f t="shared" si="127"/>
        <v>0</v>
      </c>
      <c r="AA42" s="255">
        <f t="shared" si="128"/>
        <v>0</v>
      </c>
    </row>
    <row r="43" spans="2:42" ht="15">
      <c r="B43" s="8" t="s">
        <v>1521</v>
      </c>
      <c r="C43" s="254">
        <f>'[2]Mat of App'!C43</f>
        <v>0</v>
      </c>
      <c r="D43" s="254">
        <f>'[2]Mat of App'!D43</f>
        <v>1</v>
      </c>
      <c r="E43" s="254">
        <f>'[2]Mat of App'!E43</f>
        <v>0</v>
      </c>
      <c r="F43" s="254">
        <f>'[2]Mat of App'!F43</f>
        <v>0</v>
      </c>
      <c r="G43" s="254">
        <f>'[2]Mat of App'!G43</f>
        <v>0</v>
      </c>
      <c r="H43" s="255">
        <f t="shared" si="109"/>
        <v>0</v>
      </c>
      <c r="I43" s="255">
        <f t="shared" si="110"/>
        <v>1</v>
      </c>
      <c r="J43" s="255">
        <f t="shared" si="111"/>
        <v>0</v>
      </c>
      <c r="K43" s="255">
        <f t="shared" si="112"/>
        <v>0</v>
      </c>
      <c r="L43" s="255">
        <f t="shared" si="113"/>
        <v>0</v>
      </c>
      <c r="M43" s="255">
        <f t="shared" si="114"/>
        <v>0</v>
      </c>
      <c r="N43" s="255">
        <f t="shared" si="115"/>
        <v>1</v>
      </c>
      <c r="O43" s="255">
        <f t="shared" si="116"/>
        <v>0</v>
      </c>
      <c r="P43" s="255">
        <f t="shared" si="117"/>
        <v>0</v>
      </c>
      <c r="Q43" s="255">
        <f t="shared" si="118"/>
        <v>0</v>
      </c>
      <c r="R43" s="255">
        <f t="shared" si="119"/>
        <v>0</v>
      </c>
      <c r="S43" s="255">
        <f t="shared" si="120"/>
        <v>1</v>
      </c>
      <c r="T43" s="255">
        <f t="shared" si="121"/>
        <v>0</v>
      </c>
      <c r="U43" s="255">
        <f t="shared" si="122"/>
        <v>0</v>
      </c>
      <c r="V43" s="255">
        <f t="shared" si="123"/>
        <v>0</v>
      </c>
      <c r="W43" s="255">
        <f t="shared" si="124"/>
        <v>0</v>
      </c>
      <c r="X43" s="255">
        <f t="shared" si="125"/>
        <v>1</v>
      </c>
      <c r="Y43" s="255">
        <f t="shared" si="126"/>
        <v>0</v>
      </c>
      <c r="Z43" s="255">
        <f t="shared" si="127"/>
        <v>0</v>
      </c>
      <c r="AA43" s="255">
        <f t="shared" si="128"/>
        <v>0</v>
      </c>
    </row>
  </sheetData>
  <mergeCells count="15">
    <mergeCell ref="C5:J5"/>
    <mergeCell ref="K5:R5"/>
    <mergeCell ref="S5:Z5"/>
    <mergeCell ref="AA5:AH5"/>
    <mergeCell ref="AI5:AP5"/>
    <mergeCell ref="C36:G36"/>
    <mergeCell ref="H36:L36"/>
    <mergeCell ref="M36:Q36"/>
    <mergeCell ref="R36:V36"/>
    <mergeCell ref="W36:AA36"/>
    <mergeCell ref="AI31:AP31"/>
    <mergeCell ref="C31:J31"/>
    <mergeCell ref="K31:R31"/>
    <mergeCell ref="S31:Z31"/>
    <mergeCell ref="AA31:AH31"/>
  </mergeCells>
  <dataValidations count="2">
    <dataValidation type="decimal" operator="greaterThanOrEqual" allowBlank="1" showInputMessage="1" showErrorMessage="1" sqref="C33:AP33">
      <formula1>0</formula1>
    </dataValidation>
    <dataValidation type="decimal" allowBlank="1" showInputMessage="1" showErrorMessage="1" error="The number in this cell must be between 0% and 100%." sqref="C7:AP26 C38:AA43">
      <formula1>0</formula1>
      <formula2>1</formula2>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1"/>
  </sheetPr>
  <dimension ref="A3:AL137"/>
  <sheetViews>
    <sheetView showGridLines="0" topLeftCell="A121" zoomScale="75" zoomScaleNormal="75" zoomScalePageLayoutView="75" workbookViewId="0">
      <selection activeCell="D29" sqref="D29:J136"/>
    </sheetView>
  </sheetViews>
  <sheetFormatPr defaultColWidth="8.85546875" defaultRowHeight="12.75"/>
  <cols>
    <col min="1" max="1" width="4" style="26" customWidth="1"/>
    <col min="2" max="2" width="10" style="169" customWidth="1"/>
    <col min="3" max="3" width="54.42578125" style="26" customWidth="1"/>
    <col min="4" max="247" width="20.7109375" style="26" customWidth="1"/>
    <col min="248" max="16384" width="8.85546875" style="26"/>
  </cols>
  <sheetData>
    <row r="3" spans="3:36" ht="13.5" thickBot="1">
      <c r="G3" s="359" t="s">
        <v>1101</v>
      </c>
      <c r="H3" s="360"/>
      <c r="I3" s="360"/>
      <c r="J3" s="360"/>
      <c r="K3" s="360"/>
      <c r="L3" s="360"/>
      <c r="M3" s="360"/>
      <c r="N3" s="360"/>
      <c r="O3" s="360"/>
      <c r="P3" s="360"/>
      <c r="Q3" s="360"/>
      <c r="R3" s="360"/>
      <c r="S3" s="360"/>
      <c r="T3" s="360"/>
      <c r="U3" s="360"/>
      <c r="V3" s="360"/>
      <c r="W3" s="360"/>
      <c r="X3" s="360"/>
      <c r="Y3" s="360"/>
      <c r="Z3" s="360"/>
      <c r="AA3" s="360"/>
      <c r="AB3" s="360"/>
      <c r="AC3" s="360"/>
      <c r="AD3" s="360"/>
      <c r="AE3" s="361"/>
    </row>
    <row r="4" spans="3:36" ht="15" customHeight="1">
      <c r="D4" s="27"/>
      <c r="G4" s="362" t="s">
        <v>1100</v>
      </c>
      <c r="H4" s="363"/>
      <c r="I4" s="363"/>
      <c r="J4" s="363"/>
      <c r="K4" s="364"/>
      <c r="L4" s="356" t="s">
        <v>1099</v>
      </c>
      <c r="M4" s="357"/>
      <c r="N4" s="357"/>
      <c r="O4" s="358"/>
      <c r="P4" s="356" t="s">
        <v>1098</v>
      </c>
      <c r="Q4" s="357"/>
      <c r="R4" s="357"/>
      <c r="S4" s="358"/>
      <c r="T4" s="356" t="s">
        <v>1097</v>
      </c>
      <c r="U4" s="357"/>
      <c r="V4" s="357"/>
      <c r="W4" s="358"/>
      <c r="X4" s="356" t="s">
        <v>1096</v>
      </c>
      <c r="Y4" s="357"/>
      <c r="Z4" s="357"/>
      <c r="AA4" s="358"/>
      <c r="AB4" s="356" t="s">
        <v>1736</v>
      </c>
      <c r="AC4" s="357"/>
      <c r="AD4" s="357"/>
      <c r="AE4" s="358"/>
      <c r="AF4" s="356" t="s">
        <v>1095</v>
      </c>
      <c r="AG4" s="357"/>
      <c r="AH4" s="357"/>
      <c r="AI4" s="358"/>
    </row>
    <row r="5" spans="3:36" ht="18">
      <c r="C5" s="179"/>
      <c r="G5" s="198" t="s">
        <v>1063</v>
      </c>
      <c r="H5" s="172" t="s">
        <v>1094</v>
      </c>
      <c r="I5" s="172" t="s">
        <v>1093</v>
      </c>
      <c r="J5" s="172" t="s">
        <v>1092</v>
      </c>
      <c r="K5" s="197" t="s">
        <v>1091</v>
      </c>
      <c r="L5" s="198" t="s">
        <v>1094</v>
      </c>
      <c r="M5" s="172" t="s">
        <v>1093</v>
      </c>
      <c r="N5" s="172" t="s">
        <v>1092</v>
      </c>
      <c r="O5" s="197" t="s">
        <v>1091</v>
      </c>
      <c r="P5" s="198" t="s">
        <v>1094</v>
      </c>
      <c r="Q5" s="172" t="s">
        <v>1093</v>
      </c>
      <c r="R5" s="172" t="s">
        <v>1092</v>
      </c>
      <c r="S5" s="197" t="s">
        <v>1091</v>
      </c>
      <c r="T5" s="198" t="s">
        <v>1094</v>
      </c>
      <c r="U5" s="172" t="s">
        <v>1093</v>
      </c>
      <c r="V5" s="172" t="s">
        <v>1092</v>
      </c>
      <c r="W5" s="197" t="s">
        <v>1091</v>
      </c>
      <c r="X5" s="198" t="s">
        <v>1094</v>
      </c>
      <c r="Y5" s="172" t="s">
        <v>1093</v>
      </c>
      <c r="Z5" s="172" t="s">
        <v>1092</v>
      </c>
      <c r="AA5" s="197" t="s">
        <v>1091</v>
      </c>
      <c r="AB5" s="198" t="s">
        <v>1094</v>
      </c>
      <c r="AC5" s="172" t="s">
        <v>1093</v>
      </c>
      <c r="AD5" s="172" t="s">
        <v>1092</v>
      </c>
      <c r="AE5" s="197" t="s">
        <v>1091</v>
      </c>
      <c r="AF5" s="198" t="s">
        <v>1094</v>
      </c>
      <c r="AG5" s="172" t="s">
        <v>1093</v>
      </c>
      <c r="AH5" s="172" t="s">
        <v>1092</v>
      </c>
      <c r="AI5" s="197" t="s">
        <v>1091</v>
      </c>
    </row>
    <row r="6" spans="3:36" ht="18">
      <c r="C6" s="179"/>
      <c r="E6" s="196" t="s">
        <v>1084</v>
      </c>
      <c r="F6" s="195" t="s">
        <v>1021</v>
      </c>
      <c r="G6" s="194" t="str">
        <f>+'CDCM Forecast Data'!E11</f>
        <v>2018/19</v>
      </c>
      <c r="H6" s="193" t="str">
        <f>+'CDCM Forecast Data'!F11</f>
        <v>2019/20</v>
      </c>
      <c r="I6" s="193" t="str">
        <f>+'CDCM Forecast Data'!G11</f>
        <v>2020/21</v>
      </c>
      <c r="J6" s="193" t="str">
        <f>+'CDCM Forecast Data'!H11</f>
        <v>2021/22</v>
      </c>
      <c r="K6" s="192" t="str">
        <f>+'CDCM Forecast Data'!I11</f>
        <v>2022/23</v>
      </c>
      <c r="L6" s="194" t="str">
        <f t="shared" ref="L6:AA6" si="0">+H6</f>
        <v>2019/20</v>
      </c>
      <c r="M6" s="193" t="str">
        <f t="shared" si="0"/>
        <v>2020/21</v>
      </c>
      <c r="N6" s="193" t="str">
        <f t="shared" si="0"/>
        <v>2021/22</v>
      </c>
      <c r="O6" s="192" t="str">
        <f t="shared" si="0"/>
        <v>2022/23</v>
      </c>
      <c r="P6" s="194" t="str">
        <f t="shared" si="0"/>
        <v>2019/20</v>
      </c>
      <c r="Q6" s="193" t="str">
        <f t="shared" si="0"/>
        <v>2020/21</v>
      </c>
      <c r="R6" s="193" t="str">
        <f t="shared" si="0"/>
        <v>2021/22</v>
      </c>
      <c r="S6" s="192" t="str">
        <f t="shared" si="0"/>
        <v>2022/23</v>
      </c>
      <c r="T6" s="194" t="str">
        <f t="shared" si="0"/>
        <v>2019/20</v>
      </c>
      <c r="U6" s="193" t="str">
        <f t="shared" si="0"/>
        <v>2020/21</v>
      </c>
      <c r="V6" s="193" t="str">
        <f t="shared" si="0"/>
        <v>2021/22</v>
      </c>
      <c r="W6" s="192" t="str">
        <f t="shared" si="0"/>
        <v>2022/23</v>
      </c>
      <c r="X6" s="194" t="str">
        <f t="shared" si="0"/>
        <v>2019/20</v>
      </c>
      <c r="Y6" s="193" t="str">
        <f t="shared" si="0"/>
        <v>2020/21</v>
      </c>
      <c r="Z6" s="193" t="str">
        <f t="shared" si="0"/>
        <v>2021/22</v>
      </c>
      <c r="AA6" s="192" t="str">
        <f t="shared" si="0"/>
        <v>2022/23</v>
      </c>
      <c r="AB6" s="194" t="str">
        <f t="shared" ref="AB6:AI6" si="1">+T6</f>
        <v>2019/20</v>
      </c>
      <c r="AC6" s="193" t="str">
        <f t="shared" si="1"/>
        <v>2020/21</v>
      </c>
      <c r="AD6" s="193" t="str">
        <f t="shared" si="1"/>
        <v>2021/22</v>
      </c>
      <c r="AE6" s="192" t="str">
        <f t="shared" si="1"/>
        <v>2022/23</v>
      </c>
      <c r="AF6" s="194" t="str">
        <f t="shared" si="1"/>
        <v>2019/20</v>
      </c>
      <c r="AG6" s="193" t="str">
        <f t="shared" si="1"/>
        <v>2020/21</v>
      </c>
      <c r="AH6" s="193" t="str">
        <f t="shared" si="1"/>
        <v>2021/22</v>
      </c>
      <c r="AI6" s="192" t="str">
        <f t="shared" si="1"/>
        <v>2022/23</v>
      </c>
      <c r="AJ6" s="191" t="s">
        <v>1019</v>
      </c>
    </row>
    <row r="7" spans="3:36" ht="18">
      <c r="C7" s="179"/>
      <c r="E7" s="171">
        <v>1</v>
      </c>
      <c r="F7" s="189" t="s">
        <v>1252</v>
      </c>
      <c r="G7" s="190"/>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6"/>
    </row>
    <row r="8" spans="3:36" ht="18">
      <c r="C8" s="179"/>
      <c r="E8" s="171">
        <v>2</v>
      </c>
      <c r="F8" s="189" t="s">
        <v>1253</v>
      </c>
      <c r="G8" s="190"/>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6"/>
    </row>
    <row r="9" spans="3:36" ht="18">
      <c r="C9" s="179"/>
      <c r="E9" s="171">
        <v>3</v>
      </c>
      <c r="F9" s="189" t="s">
        <v>1255</v>
      </c>
      <c r="G9" s="190"/>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6"/>
    </row>
    <row r="10" spans="3:36" ht="18">
      <c r="C10" s="179"/>
      <c r="E10" s="171">
        <v>4</v>
      </c>
      <c r="F10" s="189" t="s">
        <v>1254</v>
      </c>
      <c r="G10" s="190"/>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6"/>
    </row>
    <row r="11" spans="3:36" ht="18">
      <c r="C11" s="179"/>
      <c r="E11" s="171">
        <v>5</v>
      </c>
      <c r="F11" s="189" t="s">
        <v>1255</v>
      </c>
      <c r="G11" s="190"/>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6"/>
    </row>
    <row r="12" spans="3:36" ht="18">
      <c r="C12" s="179"/>
      <c r="E12" s="171">
        <v>6</v>
      </c>
      <c r="F12" s="189" t="s">
        <v>1255</v>
      </c>
      <c r="G12" s="190"/>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6"/>
    </row>
    <row r="13" spans="3:36" ht="18">
      <c r="C13" s="179"/>
      <c r="E13" s="171">
        <v>7</v>
      </c>
      <c r="F13" s="189" t="s">
        <v>1255</v>
      </c>
      <c r="G13" s="190"/>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6"/>
    </row>
    <row r="14" spans="3:36" ht="18">
      <c r="C14" s="179"/>
      <c r="E14" s="171">
        <v>8</v>
      </c>
      <c r="F14" s="189" t="s">
        <v>1255</v>
      </c>
      <c r="G14" s="190"/>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6"/>
    </row>
    <row r="15" spans="3:36" ht="18">
      <c r="C15" s="179"/>
      <c r="E15" s="171">
        <v>9</v>
      </c>
      <c r="F15" s="189" t="s">
        <v>1255</v>
      </c>
      <c r="G15" s="190"/>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6"/>
    </row>
    <row r="16" spans="3:36" ht="18.75" thickBot="1">
      <c r="C16" s="179"/>
      <c r="E16" s="171">
        <v>10</v>
      </c>
      <c r="F16" s="189" t="s">
        <v>1255</v>
      </c>
      <c r="G16" s="188"/>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6"/>
    </row>
    <row r="17" spans="1:38" ht="18">
      <c r="C17" s="179"/>
      <c r="E17" s="185"/>
      <c r="F17" s="176"/>
      <c r="G17" s="184"/>
      <c r="H17" s="184"/>
      <c r="I17" s="184"/>
      <c r="J17" s="184"/>
      <c r="K17" s="184"/>
      <c r="L17" s="184"/>
    </row>
    <row r="18" spans="1:38" ht="18">
      <c r="C18" s="179"/>
      <c r="E18" s="183" t="s">
        <v>1090</v>
      </c>
      <c r="F18" s="182" t="s">
        <v>2</v>
      </c>
      <c r="G18" s="181" t="str">
        <f>G6</f>
        <v>2018/19</v>
      </c>
      <c r="H18" s="181" t="str">
        <f>H6</f>
        <v>2019/20</v>
      </c>
      <c r="I18" s="181" t="str">
        <f>I6</f>
        <v>2020/21</v>
      </c>
      <c r="J18" s="181" t="str">
        <f>J6</f>
        <v>2021/22</v>
      </c>
      <c r="K18" s="181" t="str">
        <f>K6</f>
        <v>2022/23</v>
      </c>
      <c r="L18" s="180"/>
    </row>
    <row r="19" spans="1:38" ht="18">
      <c r="C19" s="179"/>
      <c r="F19" s="178" t="s">
        <v>1089</v>
      </c>
      <c r="G19" s="177">
        <f>SUM(D29:F136)</f>
        <v>13277802.431886543</v>
      </c>
      <c r="H19" s="177">
        <f>SUM(K29:M136)</f>
        <v>13277802.431886543</v>
      </c>
      <c r="I19" s="177">
        <f>SUM(R29:T136)</f>
        <v>13277802.431886543</v>
      </c>
      <c r="J19" s="177">
        <f>SUM(Y29:AA136)</f>
        <v>13277802.431886543</v>
      </c>
      <c r="K19" s="177">
        <f>SUM(AF29:AH136)</f>
        <v>13277802.431886543</v>
      </c>
      <c r="L19" s="175"/>
    </row>
    <row r="20" spans="1:38" ht="18">
      <c r="C20" s="179"/>
      <c r="F20" s="178" t="s">
        <v>1088</v>
      </c>
      <c r="G20" s="177">
        <f>SUM(G29:G136)</f>
        <v>1655500.8818487287</v>
      </c>
      <c r="H20" s="177">
        <f>SUM(N29:N136)</f>
        <v>1655500.8818487287</v>
      </c>
      <c r="I20" s="177">
        <f>SUM(U29:U136)</f>
        <v>1655500.8818487287</v>
      </c>
      <c r="J20" s="177">
        <f>SUM(AB29:AB136)</f>
        <v>1655500.8818487287</v>
      </c>
      <c r="K20" s="177">
        <f>SUM(AI29:AI136)</f>
        <v>1655500.8818487287</v>
      </c>
      <c r="L20" s="175"/>
    </row>
    <row r="21" spans="1:38" ht="17.25" customHeight="1">
      <c r="F21" s="178" t="s">
        <v>1087</v>
      </c>
      <c r="G21" s="177">
        <f>SUM(H29:H136)</f>
        <v>1932756.2399871352</v>
      </c>
      <c r="H21" s="177">
        <f>SUM(O29:O136)</f>
        <v>1932756.2399871352</v>
      </c>
      <c r="I21" s="177">
        <f>SUM(V29:V136)</f>
        <v>1932756.2399871352</v>
      </c>
      <c r="J21" s="177">
        <f>SUM(AC29:AC136)</f>
        <v>1932756.2399871352</v>
      </c>
      <c r="K21" s="177">
        <f>SUM(AJ29:AJ136)</f>
        <v>1932756.2399871352</v>
      </c>
      <c r="L21" s="175"/>
    </row>
    <row r="22" spans="1:38" ht="17.25" customHeight="1">
      <c r="F22" s="178" t="s">
        <v>1735</v>
      </c>
      <c r="G22" s="177">
        <f>SUM(I29:I136)</f>
        <v>31597.240643685367</v>
      </c>
      <c r="H22" s="177">
        <f>SUM(P29:P136)</f>
        <v>31597.240643685367</v>
      </c>
      <c r="I22" s="177">
        <f>SUM(W29:W136)</f>
        <v>31597.240643685367</v>
      </c>
      <c r="J22" s="177">
        <f>SUM(AD29:AD136)</f>
        <v>31597.240643685367</v>
      </c>
      <c r="K22" s="177">
        <f>SUM(AK29:AK136)</f>
        <v>31597.240643685367</v>
      </c>
      <c r="L22" s="175"/>
    </row>
    <row r="23" spans="1:38" ht="17.25" customHeight="1">
      <c r="F23" s="178" t="s">
        <v>1086</v>
      </c>
      <c r="G23" s="177">
        <f>SUM(J29:J136)</f>
        <v>325033.4222212609</v>
      </c>
      <c r="H23" s="177">
        <f>SUM(Q29:Q136)</f>
        <v>325033.4222212609</v>
      </c>
      <c r="I23" s="177">
        <f>SUM(X29:X136)</f>
        <v>325033.4222212609</v>
      </c>
      <c r="J23" s="177">
        <f>SUM(AE29:AE136)</f>
        <v>325033.4222212609</v>
      </c>
      <c r="K23" s="177">
        <f>SUM(AL29:AL136)</f>
        <v>325033.4222212609</v>
      </c>
      <c r="L23" s="175"/>
    </row>
    <row r="24" spans="1:38" ht="17.25" customHeight="1">
      <c r="E24" s="176"/>
      <c r="F24" s="176"/>
      <c r="G24" s="175"/>
      <c r="H24" s="175"/>
      <c r="I24" s="175"/>
      <c r="J24" s="175"/>
      <c r="K24" s="175"/>
      <c r="L24" s="175"/>
    </row>
    <row r="25" spans="1:38" ht="13.5" thickBot="1"/>
    <row r="26" spans="1:38" ht="18.75" thickBot="1">
      <c r="C26" s="174" t="s">
        <v>1085</v>
      </c>
      <c r="D26" s="350" t="str">
        <f>G6&amp; " - ("&amp;G5&amp;")"</f>
        <v>2018/19 - (Y)</v>
      </c>
      <c r="E26" s="351"/>
      <c r="F26" s="351"/>
      <c r="G26" s="351"/>
      <c r="H26" s="351"/>
      <c r="I26" s="351"/>
      <c r="J26" s="352"/>
      <c r="K26" s="350" t="str">
        <f>H6&amp; " - ("&amp;H5&amp;")"</f>
        <v>2019/20 - (Y + 1)</v>
      </c>
      <c r="L26" s="351"/>
      <c r="M26" s="351"/>
      <c r="N26" s="351"/>
      <c r="O26" s="351"/>
      <c r="P26" s="351"/>
      <c r="Q26" s="352"/>
      <c r="R26" s="353" t="str">
        <f>I6&amp; " - ("&amp;I5&amp;")"</f>
        <v>2020/21 - (Y + 2)</v>
      </c>
      <c r="S26" s="354"/>
      <c r="T26" s="354"/>
      <c r="U26" s="354"/>
      <c r="V26" s="354"/>
      <c r="W26" s="354"/>
      <c r="X26" s="355"/>
      <c r="Y26" s="350" t="str">
        <f>J6&amp; " - ("&amp;J5&amp;")"</f>
        <v>2021/22 - (Y + 3)</v>
      </c>
      <c r="Z26" s="351"/>
      <c r="AA26" s="351"/>
      <c r="AB26" s="351"/>
      <c r="AC26" s="351"/>
      <c r="AD26" s="351"/>
      <c r="AE26" s="352"/>
      <c r="AF26" s="350" t="str">
        <f>K6&amp; " - ("&amp;K5&amp;")"</f>
        <v>2022/23 - (Y + 4)</v>
      </c>
      <c r="AG26" s="351"/>
      <c r="AH26" s="351"/>
      <c r="AI26" s="351"/>
      <c r="AJ26" s="351"/>
      <c r="AK26" s="351"/>
      <c r="AL26" s="352"/>
    </row>
    <row r="27" spans="1:38" ht="30">
      <c r="B27" s="173" t="s">
        <v>1084</v>
      </c>
      <c r="C27" s="258" t="s">
        <v>1083</v>
      </c>
      <c r="D27" s="301" t="s">
        <v>102</v>
      </c>
      <c r="E27" s="302" t="s">
        <v>103</v>
      </c>
      <c r="F27" s="302" t="s">
        <v>104</v>
      </c>
      <c r="G27" s="302" t="s">
        <v>105</v>
      </c>
      <c r="H27" s="302" t="s">
        <v>106</v>
      </c>
      <c r="I27" s="302" t="s">
        <v>1569</v>
      </c>
      <c r="J27" s="300" t="s">
        <v>107</v>
      </c>
      <c r="K27" s="301" t="s">
        <v>102</v>
      </c>
      <c r="L27" s="302" t="s">
        <v>103</v>
      </c>
      <c r="M27" s="302" t="s">
        <v>104</v>
      </c>
      <c r="N27" s="302" t="s">
        <v>105</v>
      </c>
      <c r="O27" s="302" t="s">
        <v>106</v>
      </c>
      <c r="P27" s="284" t="s">
        <v>1569</v>
      </c>
      <c r="Q27" s="262" t="s">
        <v>107</v>
      </c>
      <c r="R27" s="261" t="s">
        <v>102</v>
      </c>
      <c r="S27" s="209" t="s">
        <v>103</v>
      </c>
      <c r="T27" s="209" t="s">
        <v>104</v>
      </c>
      <c r="U27" s="209" t="s">
        <v>105</v>
      </c>
      <c r="V27" s="209" t="s">
        <v>106</v>
      </c>
      <c r="W27" s="284" t="s">
        <v>1569</v>
      </c>
      <c r="X27" s="262" t="s">
        <v>107</v>
      </c>
      <c r="Y27" s="261" t="s">
        <v>102</v>
      </c>
      <c r="Z27" s="209" t="s">
        <v>103</v>
      </c>
      <c r="AA27" s="209" t="s">
        <v>104</v>
      </c>
      <c r="AB27" s="209" t="s">
        <v>105</v>
      </c>
      <c r="AC27" s="209" t="s">
        <v>106</v>
      </c>
      <c r="AD27" s="284" t="s">
        <v>1569</v>
      </c>
      <c r="AE27" s="262" t="s">
        <v>107</v>
      </c>
      <c r="AF27" s="261" t="s">
        <v>102</v>
      </c>
      <c r="AG27" s="209" t="s">
        <v>103</v>
      </c>
      <c r="AH27" s="209" t="s">
        <v>104</v>
      </c>
      <c r="AI27" s="209" t="s">
        <v>105</v>
      </c>
      <c r="AJ27" s="209" t="s">
        <v>106</v>
      </c>
      <c r="AK27" s="209" t="s">
        <v>1569</v>
      </c>
      <c r="AL27" s="262" t="s">
        <v>107</v>
      </c>
    </row>
    <row r="28" spans="1:38" ht="15">
      <c r="A28" s="26">
        <v>1</v>
      </c>
      <c r="B28" s="171"/>
      <c r="C28" s="259" t="s">
        <v>108</v>
      </c>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row>
    <row r="29" spans="1:38" ht="15">
      <c r="A29" s="26">
        <f>A28+1</f>
        <v>2</v>
      </c>
      <c r="B29" s="171">
        <v>1</v>
      </c>
      <c r="C29" s="260" t="s">
        <v>54</v>
      </c>
      <c r="D29" s="304">
        <f>'[2]CDCM Volume Forecasts'!D29</f>
        <v>4308328.1799358893</v>
      </c>
      <c r="E29" s="305">
        <f>'[2]CDCM Volume Forecasts'!E29</f>
        <v>0</v>
      </c>
      <c r="F29" s="305">
        <f>'[2]CDCM Volume Forecasts'!F29</f>
        <v>0</v>
      </c>
      <c r="G29" s="304">
        <f>'[2]CDCM Volume Forecasts'!G29</f>
        <v>1249039.053009829</v>
      </c>
      <c r="H29" s="305">
        <f>'[2]CDCM Volume Forecasts'!H29</f>
        <v>0</v>
      </c>
      <c r="I29" s="305">
        <f>'[2]CDCM Volume Forecasts'!I29</f>
        <v>0</v>
      </c>
      <c r="J29" s="305">
        <f>'[2]CDCM Volume Forecasts'!J29</f>
        <v>0</v>
      </c>
      <c r="K29" s="304">
        <f>IF(D29,((VLOOKUP($B29,$E$7:$AI$16,4)+1)*D29),)</f>
        <v>4308328.1799358893</v>
      </c>
      <c r="L29" s="305">
        <f>IF(E29,((VLOOKUP($B29,$E$7:$AI$16,8)+1)*E29),)</f>
        <v>0</v>
      </c>
      <c r="M29" s="305">
        <f>IF(F29,((VLOOKUP($B29,$E$7:$AI$16,12)+1)*F29),)</f>
        <v>0</v>
      </c>
      <c r="N29" s="304">
        <f>IF(G29,((VLOOKUP($B29,$E$7:$AI$16,16)+1)*G29),)</f>
        <v>1249039.053009829</v>
      </c>
      <c r="O29" s="305">
        <f>IF(H29,((VLOOKUP($B29,$E$7:$AI$16,20)+1)*H29),)</f>
        <v>0</v>
      </c>
      <c r="P29" s="305"/>
      <c r="Q29" s="305"/>
      <c r="R29" s="304">
        <f>IF(D29,((VLOOKUP($B29,$E$7:$AI$16,5)+1)*K29),)</f>
        <v>4308328.1799358893</v>
      </c>
      <c r="S29" s="305">
        <f>IF(E29,((VLOOKUP($B29,$E$7:$AI$16,5+4)+1)*L29),)</f>
        <v>0</v>
      </c>
      <c r="T29" s="305">
        <f>IF(F29,((VLOOKUP($B29,$E$7:$AI$16,5+8)+1)*M29),)</f>
        <v>0</v>
      </c>
      <c r="U29" s="304">
        <f>IF(G29,((VLOOKUP($B29,$E$7:$AI$16,5+12)+1)*N29),)</f>
        <v>1249039.053009829</v>
      </c>
      <c r="V29" s="305">
        <f>IF(H29,((VLOOKUP($B29,$E$7:$AI$16,5+16)+1)*O29),)</f>
        <v>0</v>
      </c>
      <c r="W29" s="305"/>
      <c r="X29" s="305"/>
      <c r="Y29" s="304">
        <f>IF(D29,((VLOOKUP($B29,$E$7:$AI$16,6)+1)*R29),)</f>
        <v>4308328.1799358893</v>
      </c>
      <c r="Z29" s="305">
        <f>IF(E29,((VLOOKUP($B29,$E$7:$AI$16,6+4)+1)*S29),)</f>
        <v>0</v>
      </c>
      <c r="AA29" s="305">
        <f>IF(F29,((VLOOKUP($B29,$E$7:$AI$16,6+8)+1)*T29),)</f>
        <v>0</v>
      </c>
      <c r="AB29" s="304">
        <f>IF(G29,((VLOOKUP($B29,$E$7:$AI$16,6+12)+1)*U29),)</f>
        <v>1249039.053009829</v>
      </c>
      <c r="AC29" s="305">
        <f>IF(H29,((VLOOKUP($B29,$E$7:$AI$16,6+16)+1)*V29),)</f>
        <v>0</v>
      </c>
      <c r="AD29" s="305"/>
      <c r="AE29" s="305"/>
      <c r="AF29" s="304">
        <f>IF(D29,((VLOOKUP($B29,$E$7:$AI$16,7)+1)*Y29),)</f>
        <v>4308328.1799358893</v>
      </c>
      <c r="AG29" s="305">
        <f>IF(E29,((VLOOKUP($B29,$E$7:$AI$16,7+4)+1)*Z29),)</f>
        <v>0</v>
      </c>
      <c r="AH29" s="305">
        <f>IF(F29,((VLOOKUP($B29,$E$7:$AI$16,7+8)+1)*AA29),)</f>
        <v>0</v>
      </c>
      <c r="AI29" s="304">
        <f>IF(G29,((VLOOKUP($B29,$E$7:$AI$16,7+12)+1)*AB29),)</f>
        <v>1249039.053009829</v>
      </c>
      <c r="AJ29" s="305">
        <f>IF(H29,((VLOOKUP($B29,$E$7:$AI$16,7+16)+1)*AC29),)</f>
        <v>0</v>
      </c>
      <c r="AK29" s="305"/>
      <c r="AL29" s="305"/>
    </row>
    <row r="30" spans="1:38" ht="15">
      <c r="A30" s="26">
        <f t="shared" ref="A30:A93" si="2">A29+1</f>
        <v>3</v>
      </c>
      <c r="B30" s="171">
        <v>1</v>
      </c>
      <c r="C30" s="260" t="s">
        <v>109</v>
      </c>
      <c r="D30" s="304">
        <f>'[2]CDCM Volume Forecasts'!D30</f>
        <v>17317.244984043104</v>
      </c>
      <c r="E30" s="305">
        <f>'[2]CDCM Volume Forecasts'!E30</f>
        <v>0</v>
      </c>
      <c r="F30" s="305">
        <f>'[2]CDCM Volume Forecasts'!F30</f>
        <v>0</v>
      </c>
      <c r="G30" s="304">
        <f>'[2]CDCM Volume Forecasts'!G30</f>
        <v>6432.4704020547961</v>
      </c>
      <c r="H30" s="305">
        <f>'[2]CDCM Volume Forecasts'!H30</f>
        <v>0</v>
      </c>
      <c r="I30" s="305">
        <f>'[2]CDCM Volume Forecasts'!I30</f>
        <v>0</v>
      </c>
      <c r="J30" s="305">
        <f>'[2]CDCM Volume Forecasts'!J30</f>
        <v>0</v>
      </c>
      <c r="K30" s="304">
        <f t="shared" ref="K30:K93" si="3">IF(D30,((VLOOKUP($B30,$E$7:$AI$16,4)+1)*D30),)</f>
        <v>17317.244984043104</v>
      </c>
      <c r="L30" s="305">
        <f t="shared" ref="L30:L93" si="4">IF(E30,((VLOOKUP($B30,$E$7:$AI$16,8)+1)*E30),)</f>
        <v>0</v>
      </c>
      <c r="M30" s="305">
        <f t="shared" ref="M30:M93" si="5">IF(F30,((VLOOKUP($B30,$E$7:$AI$16,12)+1)*F30),)</f>
        <v>0</v>
      </c>
      <c r="N30" s="304">
        <f t="shared" ref="N30:N93" si="6">IF(G30,((VLOOKUP($B30,$E$7:$AI$16,16)+1)*G30),)</f>
        <v>6432.4704020547961</v>
      </c>
      <c r="O30" s="305">
        <f t="shared" ref="O30:O93" si="7">IF(H30,((VLOOKUP($B30,$E$7:$AI$16,20)+1)*H30),)</f>
        <v>0</v>
      </c>
      <c r="P30" s="305"/>
      <c r="Q30" s="305"/>
      <c r="R30" s="304">
        <f t="shared" ref="R30:R93" si="8">IF(D30,((VLOOKUP($B30,$E$7:$AI$16,5)+1)*K30),)</f>
        <v>17317.244984043104</v>
      </c>
      <c r="S30" s="305">
        <f t="shared" ref="S30:S93" si="9">IF(E30,((VLOOKUP($B30,$E$7:$AI$16,5+4)+1)*L30),)</f>
        <v>0</v>
      </c>
      <c r="T30" s="305">
        <f t="shared" ref="T30:T93" si="10">IF(F30,((VLOOKUP($B30,$E$7:$AI$16,5+8)+1)*M30),)</f>
        <v>0</v>
      </c>
      <c r="U30" s="304">
        <f t="shared" ref="U30:U93" si="11">IF(G30,((VLOOKUP($B30,$E$7:$AI$16,5+12)+1)*N30),)</f>
        <v>6432.4704020547961</v>
      </c>
      <c r="V30" s="305">
        <f t="shared" ref="V30:V93" si="12">IF(H30,((VLOOKUP($B30,$E$7:$AI$16,5+16)+1)*O30),)</f>
        <v>0</v>
      </c>
      <c r="W30" s="305"/>
      <c r="X30" s="305"/>
      <c r="Y30" s="304">
        <f t="shared" ref="Y30:Y93" si="13">IF(D30,((VLOOKUP($B30,$E$7:$AI$16,6)+1)*R30),)</f>
        <v>17317.244984043104</v>
      </c>
      <c r="Z30" s="305">
        <f t="shared" ref="Z30:Z93" si="14">IF(E30,((VLOOKUP($B30,$E$7:$AI$16,6+4)+1)*S30),)</f>
        <v>0</v>
      </c>
      <c r="AA30" s="305">
        <f t="shared" ref="AA30:AA93" si="15">IF(F30,((VLOOKUP($B30,$E$7:$AI$16,6+8)+1)*T30),)</f>
        <v>0</v>
      </c>
      <c r="AB30" s="304">
        <f t="shared" ref="AB30:AB93" si="16">IF(G30,((VLOOKUP($B30,$E$7:$AI$16,6+12)+1)*U30),)</f>
        <v>6432.4704020547961</v>
      </c>
      <c r="AC30" s="305">
        <f t="shared" ref="AC30:AC93" si="17">IF(H30,((VLOOKUP($B30,$E$7:$AI$16,6+16)+1)*V30),)</f>
        <v>0</v>
      </c>
      <c r="AD30" s="305"/>
      <c r="AE30" s="305"/>
      <c r="AF30" s="304">
        <f t="shared" ref="AF30:AF93" si="18">IF(D30,((VLOOKUP($B30,$E$7:$AI$16,7)+1)*Y30),)</f>
        <v>17317.244984043104</v>
      </c>
      <c r="AG30" s="305">
        <f t="shared" ref="AG30:AG93" si="19">IF(E30,((VLOOKUP($B30,$E$7:$AI$16,7+4)+1)*Z30),)</f>
        <v>0</v>
      </c>
      <c r="AH30" s="305">
        <f t="shared" ref="AH30:AH93" si="20">IF(F30,((VLOOKUP($B30,$E$7:$AI$16,7+8)+1)*AA30),)</f>
        <v>0</v>
      </c>
      <c r="AI30" s="304">
        <f t="shared" ref="AI30:AI93" si="21">IF(G30,((VLOOKUP($B30,$E$7:$AI$16,7+12)+1)*AB30),)</f>
        <v>6432.4704020547961</v>
      </c>
      <c r="AJ30" s="305">
        <f t="shared" ref="AJ30:AJ93" si="22">IF(H30,((VLOOKUP($B30,$E$7:$AI$16,7+16)+1)*AC30),)</f>
        <v>0</v>
      </c>
      <c r="AK30" s="305"/>
      <c r="AL30" s="305"/>
    </row>
    <row r="31" spans="1:38" ht="15">
      <c r="A31" s="26">
        <f t="shared" si="2"/>
        <v>4</v>
      </c>
      <c r="B31" s="171">
        <v>1</v>
      </c>
      <c r="C31" s="260" t="s">
        <v>110</v>
      </c>
      <c r="D31" s="304">
        <f>'[2]CDCM Volume Forecasts'!D31</f>
        <v>30359.986233439653</v>
      </c>
      <c r="E31" s="305">
        <f>'[2]CDCM Volume Forecasts'!E31</f>
        <v>0</v>
      </c>
      <c r="F31" s="305">
        <f>'[2]CDCM Volume Forecasts'!F31</f>
        <v>0</v>
      </c>
      <c r="G31" s="304">
        <f>'[2]CDCM Volume Forecasts'!G31</f>
        <v>11844.01251369863</v>
      </c>
      <c r="H31" s="305">
        <f>'[2]CDCM Volume Forecasts'!H31</f>
        <v>0</v>
      </c>
      <c r="I31" s="305">
        <f>'[2]CDCM Volume Forecasts'!I31</f>
        <v>0</v>
      </c>
      <c r="J31" s="305">
        <f>'[2]CDCM Volume Forecasts'!J31</f>
        <v>0</v>
      </c>
      <c r="K31" s="304">
        <f t="shared" si="3"/>
        <v>30359.986233439653</v>
      </c>
      <c r="L31" s="305">
        <f t="shared" si="4"/>
        <v>0</v>
      </c>
      <c r="M31" s="305">
        <f t="shared" si="5"/>
        <v>0</v>
      </c>
      <c r="N31" s="304">
        <f t="shared" si="6"/>
        <v>11844.01251369863</v>
      </c>
      <c r="O31" s="305">
        <f t="shared" si="7"/>
        <v>0</v>
      </c>
      <c r="P31" s="305"/>
      <c r="Q31" s="305"/>
      <c r="R31" s="304">
        <f t="shared" si="8"/>
        <v>30359.986233439653</v>
      </c>
      <c r="S31" s="305">
        <f t="shared" si="9"/>
        <v>0</v>
      </c>
      <c r="T31" s="305">
        <f t="shared" si="10"/>
        <v>0</v>
      </c>
      <c r="U31" s="304">
        <f t="shared" si="11"/>
        <v>11844.01251369863</v>
      </c>
      <c r="V31" s="305">
        <f t="shared" si="12"/>
        <v>0</v>
      </c>
      <c r="W31" s="305"/>
      <c r="X31" s="305"/>
      <c r="Y31" s="304">
        <f t="shared" si="13"/>
        <v>30359.986233439653</v>
      </c>
      <c r="Z31" s="305">
        <f t="shared" si="14"/>
        <v>0</v>
      </c>
      <c r="AA31" s="305">
        <f t="shared" si="15"/>
        <v>0</v>
      </c>
      <c r="AB31" s="304">
        <f t="shared" si="16"/>
        <v>11844.01251369863</v>
      </c>
      <c r="AC31" s="305">
        <f t="shared" si="17"/>
        <v>0</v>
      </c>
      <c r="AD31" s="305"/>
      <c r="AE31" s="305"/>
      <c r="AF31" s="304">
        <f t="shared" si="18"/>
        <v>30359.986233439653</v>
      </c>
      <c r="AG31" s="305">
        <f t="shared" si="19"/>
        <v>0</v>
      </c>
      <c r="AH31" s="305">
        <f t="shared" si="20"/>
        <v>0</v>
      </c>
      <c r="AI31" s="304">
        <f t="shared" si="21"/>
        <v>11844.01251369863</v>
      </c>
      <c r="AJ31" s="305">
        <f t="shared" si="22"/>
        <v>0</v>
      </c>
      <c r="AK31" s="305"/>
      <c r="AL31" s="305"/>
    </row>
    <row r="32" spans="1:38" ht="15">
      <c r="A32" s="26">
        <f t="shared" si="2"/>
        <v>5</v>
      </c>
      <c r="B32" s="171"/>
      <c r="C32" s="259" t="s">
        <v>111</v>
      </c>
      <c r="D32" s="303">
        <f>'[2]CDCM Volume Forecasts'!D32</f>
        <v>0</v>
      </c>
      <c r="E32" s="303">
        <f>'[2]CDCM Volume Forecasts'!E32</f>
        <v>0</v>
      </c>
      <c r="F32" s="303">
        <f>'[2]CDCM Volume Forecasts'!F32</f>
        <v>0</v>
      </c>
      <c r="G32" s="303">
        <f>'[2]CDCM Volume Forecasts'!G32</f>
        <v>0</v>
      </c>
      <c r="H32" s="303">
        <f>'[2]CDCM Volume Forecasts'!H32</f>
        <v>0</v>
      </c>
      <c r="I32" s="303">
        <f>'[2]CDCM Volume Forecasts'!I32</f>
        <v>0</v>
      </c>
      <c r="J32" s="303">
        <f>'[2]CDCM Volume Forecasts'!J32</f>
        <v>0</v>
      </c>
      <c r="K32" s="303">
        <f t="shared" si="3"/>
        <v>0</v>
      </c>
      <c r="L32" s="303">
        <f t="shared" si="4"/>
        <v>0</v>
      </c>
      <c r="M32" s="303">
        <f t="shared" si="5"/>
        <v>0</v>
      </c>
      <c r="N32" s="303">
        <f t="shared" si="6"/>
        <v>0</v>
      </c>
      <c r="O32" s="303">
        <f t="shared" si="7"/>
        <v>0</v>
      </c>
      <c r="P32" s="303"/>
      <c r="Q32" s="303"/>
      <c r="R32" s="303">
        <f t="shared" si="8"/>
        <v>0</v>
      </c>
      <c r="S32" s="303">
        <f t="shared" si="9"/>
        <v>0</v>
      </c>
      <c r="T32" s="303">
        <f t="shared" si="10"/>
        <v>0</v>
      </c>
      <c r="U32" s="303">
        <f t="shared" si="11"/>
        <v>0</v>
      </c>
      <c r="V32" s="303">
        <f t="shared" si="12"/>
        <v>0</v>
      </c>
      <c r="W32" s="303"/>
      <c r="X32" s="303"/>
      <c r="Y32" s="303">
        <f t="shared" si="13"/>
        <v>0</v>
      </c>
      <c r="Z32" s="303">
        <f t="shared" si="14"/>
        <v>0</v>
      </c>
      <c r="AA32" s="303">
        <f t="shared" si="15"/>
        <v>0</v>
      </c>
      <c r="AB32" s="303">
        <f t="shared" si="16"/>
        <v>0</v>
      </c>
      <c r="AC32" s="303">
        <f t="shared" si="17"/>
        <v>0</v>
      </c>
      <c r="AD32" s="303"/>
      <c r="AE32" s="303"/>
      <c r="AF32" s="303">
        <f t="shared" si="18"/>
        <v>0</v>
      </c>
      <c r="AG32" s="303">
        <f t="shared" si="19"/>
        <v>0</v>
      </c>
      <c r="AH32" s="303">
        <f t="shared" si="20"/>
        <v>0</v>
      </c>
      <c r="AI32" s="303">
        <f t="shared" si="21"/>
        <v>0</v>
      </c>
      <c r="AJ32" s="303">
        <f t="shared" si="22"/>
        <v>0</v>
      </c>
      <c r="AK32" s="303"/>
      <c r="AL32" s="303"/>
    </row>
    <row r="33" spans="1:38" ht="15">
      <c r="A33" s="26">
        <f t="shared" si="2"/>
        <v>6</v>
      </c>
      <c r="B33" s="171">
        <v>1</v>
      </c>
      <c r="C33" s="260" t="s">
        <v>55</v>
      </c>
      <c r="D33" s="304">
        <f>'[2]CDCM Volume Forecasts'!D33</f>
        <v>607941.0703076917</v>
      </c>
      <c r="E33" s="304">
        <f>'[2]CDCM Volume Forecasts'!E33</f>
        <v>664320.74235178798</v>
      </c>
      <c r="F33" s="305">
        <f>'[2]CDCM Volume Forecasts'!F33</f>
        <v>0</v>
      </c>
      <c r="G33" s="304">
        <f>'[2]CDCM Volume Forecasts'!G33</f>
        <v>209037.51452636323</v>
      </c>
      <c r="H33" s="305">
        <f>'[2]CDCM Volume Forecasts'!H33</f>
        <v>0</v>
      </c>
      <c r="I33" s="305">
        <f>'[2]CDCM Volume Forecasts'!I33</f>
        <v>0</v>
      </c>
      <c r="J33" s="305">
        <f>'[2]CDCM Volume Forecasts'!J33</f>
        <v>0</v>
      </c>
      <c r="K33" s="304">
        <f t="shared" si="3"/>
        <v>607941.0703076917</v>
      </c>
      <c r="L33" s="304">
        <f t="shared" si="4"/>
        <v>664320.74235178798</v>
      </c>
      <c r="M33" s="305">
        <f t="shared" si="5"/>
        <v>0</v>
      </c>
      <c r="N33" s="304">
        <f t="shared" si="6"/>
        <v>209037.51452636323</v>
      </c>
      <c r="O33" s="305">
        <f t="shared" si="7"/>
        <v>0</v>
      </c>
      <c r="P33" s="305"/>
      <c r="Q33" s="305"/>
      <c r="R33" s="304">
        <f t="shared" si="8"/>
        <v>607941.0703076917</v>
      </c>
      <c r="S33" s="304">
        <f t="shared" si="9"/>
        <v>664320.74235178798</v>
      </c>
      <c r="T33" s="305">
        <f t="shared" si="10"/>
        <v>0</v>
      </c>
      <c r="U33" s="304">
        <f t="shared" si="11"/>
        <v>209037.51452636323</v>
      </c>
      <c r="V33" s="305">
        <f t="shared" si="12"/>
        <v>0</v>
      </c>
      <c r="W33" s="305"/>
      <c r="X33" s="305"/>
      <c r="Y33" s="304">
        <f t="shared" si="13"/>
        <v>607941.0703076917</v>
      </c>
      <c r="Z33" s="304">
        <f t="shared" si="14"/>
        <v>664320.74235178798</v>
      </c>
      <c r="AA33" s="305">
        <f t="shared" si="15"/>
        <v>0</v>
      </c>
      <c r="AB33" s="304">
        <f t="shared" si="16"/>
        <v>209037.51452636323</v>
      </c>
      <c r="AC33" s="305">
        <f t="shared" si="17"/>
        <v>0</v>
      </c>
      <c r="AD33" s="305"/>
      <c r="AE33" s="305"/>
      <c r="AF33" s="304">
        <f t="shared" si="18"/>
        <v>607941.0703076917</v>
      </c>
      <c r="AG33" s="304">
        <f t="shared" si="19"/>
        <v>664320.74235178798</v>
      </c>
      <c r="AH33" s="305">
        <f t="shared" si="20"/>
        <v>0</v>
      </c>
      <c r="AI33" s="304">
        <f t="shared" si="21"/>
        <v>209037.51452636323</v>
      </c>
      <c r="AJ33" s="305">
        <f t="shared" si="22"/>
        <v>0</v>
      </c>
      <c r="AK33" s="305"/>
      <c r="AL33" s="305"/>
    </row>
    <row r="34" spans="1:38" ht="15">
      <c r="A34" s="26">
        <f t="shared" si="2"/>
        <v>7</v>
      </c>
      <c r="B34" s="171">
        <v>1</v>
      </c>
      <c r="C34" s="260" t="s">
        <v>112</v>
      </c>
      <c r="D34" s="304">
        <f>'[2]CDCM Volume Forecasts'!D34</f>
        <v>996.33454580172418</v>
      </c>
      <c r="E34" s="304">
        <f>'[2]CDCM Volume Forecasts'!E34</f>
        <v>464.31544950000011</v>
      </c>
      <c r="F34" s="305">
        <f>'[2]CDCM Volume Forecasts'!F34</f>
        <v>0</v>
      </c>
      <c r="G34" s="304">
        <f>'[2]CDCM Volume Forecasts'!G34</f>
        <v>424.57848904109591</v>
      </c>
      <c r="H34" s="305">
        <f>'[2]CDCM Volume Forecasts'!H34</f>
        <v>0</v>
      </c>
      <c r="I34" s="305">
        <f>'[2]CDCM Volume Forecasts'!I34</f>
        <v>0</v>
      </c>
      <c r="J34" s="305">
        <f>'[2]CDCM Volume Forecasts'!J34</f>
        <v>0</v>
      </c>
      <c r="K34" s="304">
        <f t="shared" si="3"/>
        <v>996.33454580172418</v>
      </c>
      <c r="L34" s="304">
        <f t="shared" si="4"/>
        <v>464.31544950000011</v>
      </c>
      <c r="M34" s="305">
        <f t="shared" si="5"/>
        <v>0</v>
      </c>
      <c r="N34" s="304">
        <f t="shared" si="6"/>
        <v>424.57848904109591</v>
      </c>
      <c r="O34" s="305">
        <f t="shared" si="7"/>
        <v>0</v>
      </c>
      <c r="P34" s="305"/>
      <c r="Q34" s="305"/>
      <c r="R34" s="304">
        <f t="shared" si="8"/>
        <v>996.33454580172418</v>
      </c>
      <c r="S34" s="304">
        <f t="shared" si="9"/>
        <v>464.31544950000011</v>
      </c>
      <c r="T34" s="305">
        <f t="shared" si="10"/>
        <v>0</v>
      </c>
      <c r="U34" s="304">
        <f t="shared" si="11"/>
        <v>424.57848904109591</v>
      </c>
      <c r="V34" s="305">
        <f t="shared" si="12"/>
        <v>0</v>
      </c>
      <c r="W34" s="305"/>
      <c r="X34" s="305"/>
      <c r="Y34" s="304">
        <f t="shared" si="13"/>
        <v>996.33454580172418</v>
      </c>
      <c r="Z34" s="304">
        <f t="shared" si="14"/>
        <v>464.31544950000011</v>
      </c>
      <c r="AA34" s="305">
        <f t="shared" si="15"/>
        <v>0</v>
      </c>
      <c r="AB34" s="304">
        <f t="shared" si="16"/>
        <v>424.57848904109591</v>
      </c>
      <c r="AC34" s="305">
        <f t="shared" si="17"/>
        <v>0</v>
      </c>
      <c r="AD34" s="305"/>
      <c r="AE34" s="305"/>
      <c r="AF34" s="304">
        <f t="shared" si="18"/>
        <v>996.33454580172418</v>
      </c>
      <c r="AG34" s="304">
        <f t="shared" si="19"/>
        <v>464.31544950000011</v>
      </c>
      <c r="AH34" s="305">
        <f t="shared" si="20"/>
        <v>0</v>
      </c>
      <c r="AI34" s="304">
        <f t="shared" si="21"/>
        <v>424.57848904109591</v>
      </c>
      <c r="AJ34" s="305">
        <f t="shared" si="22"/>
        <v>0</v>
      </c>
      <c r="AK34" s="305"/>
      <c r="AL34" s="305"/>
    </row>
    <row r="35" spans="1:38" ht="15">
      <c r="A35" s="26">
        <f t="shared" si="2"/>
        <v>8</v>
      </c>
      <c r="B35" s="171">
        <v>1</v>
      </c>
      <c r="C35" s="260" t="s">
        <v>113</v>
      </c>
      <c r="D35" s="304">
        <f>'[2]CDCM Volume Forecasts'!D35</f>
        <v>958.18848680172437</v>
      </c>
      <c r="E35" s="304">
        <f>'[2]CDCM Volume Forecasts'!E35</f>
        <v>407.95688506034486</v>
      </c>
      <c r="F35" s="305">
        <f>'[2]CDCM Volume Forecasts'!F35</f>
        <v>0</v>
      </c>
      <c r="G35" s="304">
        <f>'[2]CDCM Volume Forecasts'!G35</f>
        <v>368.39690136986303</v>
      </c>
      <c r="H35" s="305">
        <f>'[2]CDCM Volume Forecasts'!H35</f>
        <v>0</v>
      </c>
      <c r="I35" s="305">
        <f>'[2]CDCM Volume Forecasts'!I35</f>
        <v>0</v>
      </c>
      <c r="J35" s="305">
        <f>'[2]CDCM Volume Forecasts'!J35</f>
        <v>0</v>
      </c>
      <c r="K35" s="304">
        <f t="shared" si="3"/>
        <v>958.18848680172437</v>
      </c>
      <c r="L35" s="304">
        <f t="shared" si="4"/>
        <v>407.95688506034486</v>
      </c>
      <c r="M35" s="305">
        <f t="shared" si="5"/>
        <v>0</v>
      </c>
      <c r="N35" s="304">
        <f t="shared" si="6"/>
        <v>368.39690136986303</v>
      </c>
      <c r="O35" s="305">
        <f t="shared" si="7"/>
        <v>0</v>
      </c>
      <c r="P35" s="305"/>
      <c r="Q35" s="305"/>
      <c r="R35" s="304">
        <f t="shared" si="8"/>
        <v>958.18848680172437</v>
      </c>
      <c r="S35" s="304">
        <f t="shared" si="9"/>
        <v>407.95688506034486</v>
      </c>
      <c r="T35" s="305">
        <f t="shared" si="10"/>
        <v>0</v>
      </c>
      <c r="U35" s="304">
        <f t="shared" si="11"/>
        <v>368.39690136986303</v>
      </c>
      <c r="V35" s="305">
        <f t="shared" si="12"/>
        <v>0</v>
      </c>
      <c r="W35" s="305"/>
      <c r="X35" s="305"/>
      <c r="Y35" s="304">
        <f t="shared" si="13"/>
        <v>958.18848680172437</v>
      </c>
      <c r="Z35" s="304">
        <f t="shared" si="14"/>
        <v>407.95688506034486</v>
      </c>
      <c r="AA35" s="305">
        <f t="shared" si="15"/>
        <v>0</v>
      </c>
      <c r="AB35" s="304">
        <f t="shared" si="16"/>
        <v>368.39690136986303</v>
      </c>
      <c r="AC35" s="305">
        <f t="shared" si="17"/>
        <v>0</v>
      </c>
      <c r="AD35" s="305"/>
      <c r="AE35" s="305"/>
      <c r="AF35" s="304">
        <f t="shared" si="18"/>
        <v>958.18848680172437</v>
      </c>
      <c r="AG35" s="304">
        <f t="shared" si="19"/>
        <v>407.95688506034486</v>
      </c>
      <c r="AH35" s="305">
        <f t="shared" si="20"/>
        <v>0</v>
      </c>
      <c r="AI35" s="304">
        <f t="shared" si="21"/>
        <v>368.39690136986303</v>
      </c>
      <c r="AJ35" s="305">
        <f t="shared" si="22"/>
        <v>0</v>
      </c>
      <c r="AK35" s="305"/>
      <c r="AL35" s="305"/>
    </row>
    <row r="36" spans="1:38" ht="15">
      <c r="A36" s="26">
        <f t="shared" si="2"/>
        <v>9</v>
      </c>
      <c r="B36" s="171"/>
      <c r="C36" s="259" t="s">
        <v>114</v>
      </c>
      <c r="D36" s="303">
        <f>'[2]CDCM Volume Forecasts'!D36</f>
        <v>0</v>
      </c>
      <c r="E36" s="303">
        <f>'[2]CDCM Volume Forecasts'!E36</f>
        <v>0</v>
      </c>
      <c r="F36" s="303">
        <f>'[2]CDCM Volume Forecasts'!F36</f>
        <v>0</v>
      </c>
      <c r="G36" s="303">
        <f>'[2]CDCM Volume Forecasts'!G36</f>
        <v>0</v>
      </c>
      <c r="H36" s="303">
        <f>'[2]CDCM Volume Forecasts'!H36</f>
        <v>0</v>
      </c>
      <c r="I36" s="303">
        <f>'[2]CDCM Volume Forecasts'!I36</f>
        <v>0</v>
      </c>
      <c r="J36" s="303">
        <f>'[2]CDCM Volume Forecasts'!J36</f>
        <v>0</v>
      </c>
      <c r="K36" s="303">
        <f t="shared" si="3"/>
        <v>0</v>
      </c>
      <c r="L36" s="303">
        <f t="shared" si="4"/>
        <v>0</v>
      </c>
      <c r="M36" s="303">
        <f t="shared" si="5"/>
        <v>0</v>
      </c>
      <c r="N36" s="303">
        <f t="shared" si="6"/>
        <v>0</v>
      </c>
      <c r="O36" s="303">
        <f t="shared" si="7"/>
        <v>0</v>
      </c>
      <c r="P36" s="303"/>
      <c r="Q36" s="303"/>
      <c r="R36" s="303">
        <f t="shared" si="8"/>
        <v>0</v>
      </c>
      <c r="S36" s="303">
        <f t="shared" si="9"/>
        <v>0</v>
      </c>
      <c r="T36" s="303">
        <f t="shared" si="10"/>
        <v>0</v>
      </c>
      <c r="U36" s="303">
        <f t="shared" si="11"/>
        <v>0</v>
      </c>
      <c r="V36" s="303">
        <f t="shared" si="12"/>
        <v>0</v>
      </c>
      <c r="W36" s="303"/>
      <c r="X36" s="303"/>
      <c r="Y36" s="303">
        <f t="shared" si="13"/>
        <v>0</v>
      </c>
      <c r="Z36" s="303">
        <f t="shared" si="14"/>
        <v>0</v>
      </c>
      <c r="AA36" s="303">
        <f t="shared" si="15"/>
        <v>0</v>
      </c>
      <c r="AB36" s="303">
        <f t="shared" si="16"/>
        <v>0</v>
      </c>
      <c r="AC36" s="303">
        <f t="shared" si="17"/>
        <v>0</v>
      </c>
      <c r="AD36" s="303"/>
      <c r="AE36" s="303"/>
      <c r="AF36" s="303">
        <f t="shared" si="18"/>
        <v>0</v>
      </c>
      <c r="AG36" s="303">
        <f t="shared" si="19"/>
        <v>0</v>
      </c>
      <c r="AH36" s="303">
        <f t="shared" si="20"/>
        <v>0</v>
      </c>
      <c r="AI36" s="303">
        <f t="shared" si="21"/>
        <v>0</v>
      </c>
      <c r="AJ36" s="303">
        <f t="shared" si="22"/>
        <v>0</v>
      </c>
      <c r="AK36" s="303"/>
      <c r="AL36" s="303"/>
    </row>
    <row r="37" spans="1:38" ht="15">
      <c r="A37" s="26">
        <f t="shared" si="2"/>
        <v>10</v>
      </c>
      <c r="B37" s="171">
        <v>1</v>
      </c>
      <c r="C37" s="260" t="s">
        <v>91</v>
      </c>
      <c r="D37" s="304">
        <f>'[2]CDCM Volume Forecasts'!D37</f>
        <v>45959.708361578618</v>
      </c>
      <c r="E37" s="305">
        <f>'[2]CDCM Volume Forecasts'!E37</f>
        <v>0</v>
      </c>
      <c r="F37" s="305">
        <f>'[2]CDCM Volume Forecasts'!F37</f>
        <v>0</v>
      </c>
      <c r="G37" s="304">
        <f>'[2]CDCM Volume Forecasts'!G37</f>
        <v>15622</v>
      </c>
      <c r="H37" s="305">
        <f>'[2]CDCM Volume Forecasts'!H37</f>
        <v>0</v>
      </c>
      <c r="I37" s="305">
        <f>'[2]CDCM Volume Forecasts'!I37</f>
        <v>0</v>
      </c>
      <c r="J37" s="305">
        <f>'[2]CDCM Volume Forecasts'!J37</f>
        <v>0</v>
      </c>
      <c r="K37" s="304">
        <f t="shared" si="3"/>
        <v>45959.708361578618</v>
      </c>
      <c r="L37" s="305">
        <f t="shared" si="4"/>
        <v>0</v>
      </c>
      <c r="M37" s="305">
        <f t="shared" si="5"/>
        <v>0</v>
      </c>
      <c r="N37" s="304">
        <f t="shared" si="6"/>
        <v>15622</v>
      </c>
      <c r="O37" s="305">
        <f t="shared" si="7"/>
        <v>0</v>
      </c>
      <c r="P37" s="305"/>
      <c r="Q37" s="305"/>
      <c r="R37" s="304">
        <f t="shared" si="8"/>
        <v>45959.708361578618</v>
      </c>
      <c r="S37" s="305">
        <f t="shared" si="9"/>
        <v>0</v>
      </c>
      <c r="T37" s="305">
        <f t="shared" si="10"/>
        <v>0</v>
      </c>
      <c r="U37" s="304">
        <f t="shared" si="11"/>
        <v>15622</v>
      </c>
      <c r="V37" s="305">
        <f t="shared" si="12"/>
        <v>0</v>
      </c>
      <c r="W37" s="305"/>
      <c r="X37" s="305"/>
      <c r="Y37" s="304">
        <f t="shared" si="13"/>
        <v>45959.708361578618</v>
      </c>
      <c r="Z37" s="305">
        <f t="shared" si="14"/>
        <v>0</v>
      </c>
      <c r="AA37" s="305">
        <f t="shared" si="15"/>
        <v>0</v>
      </c>
      <c r="AB37" s="304">
        <f t="shared" si="16"/>
        <v>15622</v>
      </c>
      <c r="AC37" s="305">
        <f t="shared" si="17"/>
        <v>0</v>
      </c>
      <c r="AD37" s="305"/>
      <c r="AE37" s="305"/>
      <c r="AF37" s="304">
        <f t="shared" si="18"/>
        <v>45959.708361578618</v>
      </c>
      <c r="AG37" s="305">
        <f t="shared" si="19"/>
        <v>0</v>
      </c>
      <c r="AH37" s="305">
        <f t="shared" si="20"/>
        <v>0</v>
      </c>
      <c r="AI37" s="304">
        <f t="shared" si="21"/>
        <v>15622</v>
      </c>
      <c r="AJ37" s="305">
        <f t="shared" si="22"/>
        <v>0</v>
      </c>
      <c r="AK37" s="305"/>
      <c r="AL37" s="305"/>
    </row>
    <row r="38" spans="1:38" ht="15">
      <c r="A38" s="26">
        <f t="shared" si="2"/>
        <v>11</v>
      </c>
      <c r="B38" s="171">
        <v>1</v>
      </c>
      <c r="C38" s="260" t="s">
        <v>115</v>
      </c>
      <c r="D38" s="304">
        <f>'[2]CDCM Volume Forecasts'!D38</f>
        <v>0</v>
      </c>
      <c r="E38" s="305">
        <f>'[2]CDCM Volume Forecasts'!E38</f>
        <v>0</v>
      </c>
      <c r="F38" s="305">
        <f>'[2]CDCM Volume Forecasts'!F38</f>
        <v>0</v>
      </c>
      <c r="G38" s="304">
        <f>'[2]CDCM Volume Forecasts'!G38</f>
        <v>0</v>
      </c>
      <c r="H38" s="305">
        <f>'[2]CDCM Volume Forecasts'!H38</f>
        <v>0</v>
      </c>
      <c r="I38" s="305">
        <f>'[2]CDCM Volume Forecasts'!I38</f>
        <v>0</v>
      </c>
      <c r="J38" s="305">
        <f>'[2]CDCM Volume Forecasts'!J38</f>
        <v>0</v>
      </c>
      <c r="K38" s="304">
        <f t="shared" si="3"/>
        <v>0</v>
      </c>
      <c r="L38" s="305">
        <f t="shared" si="4"/>
        <v>0</v>
      </c>
      <c r="M38" s="305">
        <f t="shared" si="5"/>
        <v>0</v>
      </c>
      <c r="N38" s="304">
        <f t="shared" si="6"/>
        <v>0</v>
      </c>
      <c r="O38" s="305">
        <f t="shared" si="7"/>
        <v>0</v>
      </c>
      <c r="P38" s="305"/>
      <c r="Q38" s="305"/>
      <c r="R38" s="304">
        <f t="shared" si="8"/>
        <v>0</v>
      </c>
      <c r="S38" s="305">
        <f t="shared" si="9"/>
        <v>0</v>
      </c>
      <c r="T38" s="305">
        <f t="shared" si="10"/>
        <v>0</v>
      </c>
      <c r="U38" s="304">
        <f t="shared" si="11"/>
        <v>0</v>
      </c>
      <c r="V38" s="305">
        <f t="shared" si="12"/>
        <v>0</v>
      </c>
      <c r="W38" s="305"/>
      <c r="X38" s="305"/>
      <c r="Y38" s="304">
        <f t="shared" si="13"/>
        <v>0</v>
      </c>
      <c r="Z38" s="305">
        <f t="shared" si="14"/>
        <v>0</v>
      </c>
      <c r="AA38" s="305">
        <f t="shared" si="15"/>
        <v>0</v>
      </c>
      <c r="AB38" s="304">
        <f t="shared" si="16"/>
        <v>0</v>
      </c>
      <c r="AC38" s="305">
        <f t="shared" si="17"/>
        <v>0</v>
      </c>
      <c r="AD38" s="305"/>
      <c r="AE38" s="305"/>
      <c r="AF38" s="304">
        <f t="shared" si="18"/>
        <v>0</v>
      </c>
      <c r="AG38" s="305">
        <f t="shared" si="19"/>
        <v>0</v>
      </c>
      <c r="AH38" s="305">
        <f t="shared" si="20"/>
        <v>0</v>
      </c>
      <c r="AI38" s="304">
        <f t="shared" si="21"/>
        <v>0</v>
      </c>
      <c r="AJ38" s="305">
        <f t="shared" si="22"/>
        <v>0</v>
      </c>
      <c r="AK38" s="305"/>
      <c r="AL38" s="305"/>
    </row>
    <row r="39" spans="1:38" ht="15">
      <c r="A39" s="26">
        <f t="shared" si="2"/>
        <v>12</v>
      </c>
      <c r="B39" s="171">
        <v>1</v>
      </c>
      <c r="C39" s="260" t="s">
        <v>116</v>
      </c>
      <c r="D39" s="304">
        <f>'[2]CDCM Volume Forecasts'!D39</f>
        <v>0</v>
      </c>
      <c r="E39" s="305">
        <f>'[2]CDCM Volume Forecasts'!E39</f>
        <v>0</v>
      </c>
      <c r="F39" s="305">
        <f>'[2]CDCM Volume Forecasts'!F39</f>
        <v>0</v>
      </c>
      <c r="G39" s="304">
        <f>'[2]CDCM Volume Forecasts'!G39</f>
        <v>0</v>
      </c>
      <c r="H39" s="305">
        <f>'[2]CDCM Volume Forecasts'!H39</f>
        <v>0</v>
      </c>
      <c r="I39" s="305">
        <f>'[2]CDCM Volume Forecasts'!I39</f>
        <v>0</v>
      </c>
      <c r="J39" s="305">
        <f>'[2]CDCM Volume Forecasts'!J39</f>
        <v>0</v>
      </c>
      <c r="K39" s="304">
        <f t="shared" si="3"/>
        <v>0</v>
      </c>
      <c r="L39" s="305">
        <f t="shared" si="4"/>
        <v>0</v>
      </c>
      <c r="M39" s="305">
        <f t="shared" si="5"/>
        <v>0</v>
      </c>
      <c r="N39" s="304">
        <f t="shared" si="6"/>
        <v>0</v>
      </c>
      <c r="O39" s="305">
        <f t="shared" si="7"/>
        <v>0</v>
      </c>
      <c r="P39" s="305"/>
      <c r="Q39" s="305"/>
      <c r="R39" s="304">
        <f t="shared" si="8"/>
        <v>0</v>
      </c>
      <c r="S39" s="305">
        <f t="shared" si="9"/>
        <v>0</v>
      </c>
      <c r="T39" s="305">
        <f t="shared" si="10"/>
        <v>0</v>
      </c>
      <c r="U39" s="304">
        <f t="shared" si="11"/>
        <v>0</v>
      </c>
      <c r="V39" s="305">
        <f t="shared" si="12"/>
        <v>0</v>
      </c>
      <c r="W39" s="305"/>
      <c r="X39" s="305"/>
      <c r="Y39" s="304">
        <f t="shared" si="13"/>
        <v>0</v>
      </c>
      <c r="Z39" s="305">
        <f t="shared" si="14"/>
        <v>0</v>
      </c>
      <c r="AA39" s="305">
        <f t="shared" si="15"/>
        <v>0</v>
      </c>
      <c r="AB39" s="304">
        <f t="shared" si="16"/>
        <v>0</v>
      </c>
      <c r="AC39" s="305">
        <f t="shared" si="17"/>
        <v>0</v>
      </c>
      <c r="AD39" s="305"/>
      <c r="AE39" s="305"/>
      <c r="AF39" s="304">
        <f t="shared" si="18"/>
        <v>0</v>
      </c>
      <c r="AG39" s="305">
        <f t="shared" si="19"/>
        <v>0</v>
      </c>
      <c r="AH39" s="305">
        <f t="shared" si="20"/>
        <v>0</v>
      </c>
      <c r="AI39" s="304">
        <f t="shared" si="21"/>
        <v>0</v>
      </c>
      <c r="AJ39" s="305">
        <f t="shared" si="22"/>
        <v>0</v>
      </c>
      <c r="AK39" s="305"/>
      <c r="AL39" s="305"/>
    </row>
    <row r="40" spans="1:38" ht="15">
      <c r="A40" s="26">
        <f t="shared" si="2"/>
        <v>13</v>
      </c>
      <c r="B40" s="171"/>
      <c r="C40" s="259" t="s">
        <v>117</v>
      </c>
      <c r="D40" s="303">
        <f>'[2]CDCM Volume Forecasts'!D40</f>
        <v>0</v>
      </c>
      <c r="E40" s="303">
        <f>'[2]CDCM Volume Forecasts'!E40</f>
        <v>0</v>
      </c>
      <c r="F40" s="303">
        <f>'[2]CDCM Volume Forecasts'!F40</f>
        <v>0</v>
      </c>
      <c r="G40" s="303">
        <f>'[2]CDCM Volume Forecasts'!G40</f>
        <v>0</v>
      </c>
      <c r="H40" s="303">
        <f>'[2]CDCM Volume Forecasts'!H40</f>
        <v>0</v>
      </c>
      <c r="I40" s="303">
        <f>'[2]CDCM Volume Forecasts'!I40</f>
        <v>0</v>
      </c>
      <c r="J40" s="303">
        <f>'[2]CDCM Volume Forecasts'!J40</f>
        <v>0</v>
      </c>
      <c r="K40" s="303">
        <f t="shared" si="3"/>
        <v>0</v>
      </c>
      <c r="L40" s="303">
        <f t="shared" si="4"/>
        <v>0</v>
      </c>
      <c r="M40" s="303">
        <f t="shared" si="5"/>
        <v>0</v>
      </c>
      <c r="N40" s="303">
        <f t="shared" si="6"/>
        <v>0</v>
      </c>
      <c r="O40" s="303">
        <f t="shared" si="7"/>
        <v>0</v>
      </c>
      <c r="P40" s="303"/>
      <c r="Q40" s="303"/>
      <c r="R40" s="303">
        <f t="shared" si="8"/>
        <v>0</v>
      </c>
      <c r="S40" s="303">
        <f t="shared" si="9"/>
        <v>0</v>
      </c>
      <c r="T40" s="303">
        <f t="shared" si="10"/>
        <v>0</v>
      </c>
      <c r="U40" s="303">
        <f t="shared" si="11"/>
        <v>0</v>
      </c>
      <c r="V40" s="303">
        <f t="shared" si="12"/>
        <v>0</v>
      </c>
      <c r="W40" s="303"/>
      <c r="X40" s="303"/>
      <c r="Y40" s="303">
        <f t="shared" si="13"/>
        <v>0</v>
      </c>
      <c r="Z40" s="303">
        <f t="shared" si="14"/>
        <v>0</v>
      </c>
      <c r="AA40" s="303">
        <f t="shared" si="15"/>
        <v>0</v>
      </c>
      <c r="AB40" s="303">
        <f t="shared" si="16"/>
        <v>0</v>
      </c>
      <c r="AC40" s="303">
        <f t="shared" si="17"/>
        <v>0</v>
      </c>
      <c r="AD40" s="303"/>
      <c r="AE40" s="303"/>
      <c r="AF40" s="303">
        <f t="shared" si="18"/>
        <v>0</v>
      </c>
      <c r="AG40" s="303">
        <f t="shared" si="19"/>
        <v>0</v>
      </c>
      <c r="AH40" s="303">
        <f t="shared" si="20"/>
        <v>0</v>
      </c>
      <c r="AI40" s="303">
        <f t="shared" si="21"/>
        <v>0</v>
      </c>
      <c r="AJ40" s="303">
        <f t="shared" si="22"/>
        <v>0</v>
      </c>
      <c r="AK40" s="303"/>
      <c r="AL40" s="303"/>
    </row>
    <row r="41" spans="1:38" ht="15">
      <c r="A41" s="26">
        <f t="shared" si="2"/>
        <v>14</v>
      </c>
      <c r="B41" s="171">
        <v>1</v>
      </c>
      <c r="C41" s="260" t="s">
        <v>56</v>
      </c>
      <c r="D41" s="304">
        <f>'[2]CDCM Volume Forecasts'!D41</f>
        <v>1179331.5292248435</v>
      </c>
      <c r="E41" s="305">
        <f>'[2]CDCM Volume Forecasts'!E41</f>
        <v>0</v>
      </c>
      <c r="F41" s="305">
        <f>'[2]CDCM Volume Forecasts'!F41</f>
        <v>0</v>
      </c>
      <c r="G41" s="304">
        <f>'[2]CDCM Volume Forecasts'!G41</f>
        <v>110093.23974331518</v>
      </c>
      <c r="H41" s="305">
        <f>'[2]CDCM Volume Forecasts'!H41</f>
        <v>0</v>
      </c>
      <c r="I41" s="305">
        <f>'[2]CDCM Volume Forecasts'!I41</f>
        <v>0</v>
      </c>
      <c r="J41" s="305">
        <f>'[2]CDCM Volume Forecasts'!J41</f>
        <v>0</v>
      </c>
      <c r="K41" s="304">
        <f t="shared" si="3"/>
        <v>1179331.5292248435</v>
      </c>
      <c r="L41" s="305">
        <f t="shared" si="4"/>
        <v>0</v>
      </c>
      <c r="M41" s="305">
        <f t="shared" si="5"/>
        <v>0</v>
      </c>
      <c r="N41" s="304">
        <f t="shared" si="6"/>
        <v>110093.23974331518</v>
      </c>
      <c r="O41" s="305">
        <f t="shared" si="7"/>
        <v>0</v>
      </c>
      <c r="P41" s="305"/>
      <c r="Q41" s="305"/>
      <c r="R41" s="304">
        <f t="shared" si="8"/>
        <v>1179331.5292248435</v>
      </c>
      <c r="S41" s="305">
        <f t="shared" si="9"/>
        <v>0</v>
      </c>
      <c r="T41" s="305">
        <f t="shared" si="10"/>
        <v>0</v>
      </c>
      <c r="U41" s="304">
        <f t="shared" si="11"/>
        <v>110093.23974331518</v>
      </c>
      <c r="V41" s="305">
        <f t="shared" si="12"/>
        <v>0</v>
      </c>
      <c r="W41" s="305"/>
      <c r="X41" s="305"/>
      <c r="Y41" s="304">
        <f t="shared" si="13"/>
        <v>1179331.5292248435</v>
      </c>
      <c r="Z41" s="305">
        <f t="shared" si="14"/>
        <v>0</v>
      </c>
      <c r="AA41" s="305">
        <f t="shared" si="15"/>
        <v>0</v>
      </c>
      <c r="AB41" s="304">
        <f t="shared" si="16"/>
        <v>110093.23974331518</v>
      </c>
      <c r="AC41" s="305">
        <f t="shared" si="17"/>
        <v>0</v>
      </c>
      <c r="AD41" s="305"/>
      <c r="AE41" s="305"/>
      <c r="AF41" s="304">
        <f t="shared" si="18"/>
        <v>1179331.5292248435</v>
      </c>
      <c r="AG41" s="305">
        <f t="shared" si="19"/>
        <v>0</v>
      </c>
      <c r="AH41" s="305">
        <f t="shared" si="20"/>
        <v>0</v>
      </c>
      <c r="AI41" s="304">
        <f t="shared" si="21"/>
        <v>110093.23974331518</v>
      </c>
      <c r="AJ41" s="305">
        <f t="shared" si="22"/>
        <v>0</v>
      </c>
      <c r="AK41" s="305"/>
      <c r="AL41" s="305"/>
    </row>
    <row r="42" spans="1:38" ht="15">
      <c r="A42" s="26">
        <f t="shared" si="2"/>
        <v>15</v>
      </c>
      <c r="B42" s="171">
        <v>1</v>
      </c>
      <c r="C42" s="260" t="s">
        <v>118</v>
      </c>
      <c r="D42" s="304">
        <f>'[2]CDCM Volume Forecasts'!D42</f>
        <v>788.43675949137935</v>
      </c>
      <c r="E42" s="305">
        <f>'[2]CDCM Volume Forecasts'!E42</f>
        <v>0</v>
      </c>
      <c r="F42" s="305">
        <f>'[2]CDCM Volume Forecasts'!F42</f>
        <v>0</v>
      </c>
      <c r="G42" s="304">
        <f>'[2]CDCM Volume Forecasts'!G42</f>
        <v>127.831401369863</v>
      </c>
      <c r="H42" s="305">
        <f>'[2]CDCM Volume Forecasts'!H42</f>
        <v>0</v>
      </c>
      <c r="I42" s="305">
        <f>'[2]CDCM Volume Forecasts'!I42</f>
        <v>0</v>
      </c>
      <c r="J42" s="305">
        <f>'[2]CDCM Volume Forecasts'!J42</f>
        <v>0</v>
      </c>
      <c r="K42" s="304">
        <f t="shared" si="3"/>
        <v>788.43675949137935</v>
      </c>
      <c r="L42" s="305">
        <f t="shared" si="4"/>
        <v>0</v>
      </c>
      <c r="M42" s="305">
        <f t="shared" si="5"/>
        <v>0</v>
      </c>
      <c r="N42" s="304">
        <f t="shared" si="6"/>
        <v>127.831401369863</v>
      </c>
      <c r="O42" s="305">
        <f t="shared" si="7"/>
        <v>0</v>
      </c>
      <c r="P42" s="305"/>
      <c r="Q42" s="305"/>
      <c r="R42" s="304">
        <f t="shared" si="8"/>
        <v>788.43675949137935</v>
      </c>
      <c r="S42" s="305">
        <f t="shared" si="9"/>
        <v>0</v>
      </c>
      <c r="T42" s="305">
        <f t="shared" si="10"/>
        <v>0</v>
      </c>
      <c r="U42" s="304">
        <f t="shared" si="11"/>
        <v>127.831401369863</v>
      </c>
      <c r="V42" s="305">
        <f t="shared" si="12"/>
        <v>0</v>
      </c>
      <c r="W42" s="305"/>
      <c r="X42" s="305"/>
      <c r="Y42" s="304">
        <f t="shared" si="13"/>
        <v>788.43675949137935</v>
      </c>
      <c r="Z42" s="305">
        <f t="shared" si="14"/>
        <v>0</v>
      </c>
      <c r="AA42" s="305">
        <f t="shared" si="15"/>
        <v>0</v>
      </c>
      <c r="AB42" s="304">
        <f t="shared" si="16"/>
        <v>127.831401369863</v>
      </c>
      <c r="AC42" s="305">
        <f t="shared" si="17"/>
        <v>0</v>
      </c>
      <c r="AD42" s="305"/>
      <c r="AE42" s="305"/>
      <c r="AF42" s="304">
        <f t="shared" si="18"/>
        <v>788.43675949137935</v>
      </c>
      <c r="AG42" s="305">
        <f t="shared" si="19"/>
        <v>0</v>
      </c>
      <c r="AH42" s="305">
        <f t="shared" si="20"/>
        <v>0</v>
      </c>
      <c r="AI42" s="304">
        <f t="shared" si="21"/>
        <v>127.831401369863</v>
      </c>
      <c r="AJ42" s="305">
        <f t="shared" si="22"/>
        <v>0</v>
      </c>
      <c r="AK42" s="305"/>
      <c r="AL42" s="305"/>
    </row>
    <row r="43" spans="1:38" ht="15">
      <c r="A43" s="26">
        <f t="shared" si="2"/>
        <v>16</v>
      </c>
      <c r="B43" s="171">
        <v>1</v>
      </c>
      <c r="C43" s="260" t="s">
        <v>119</v>
      </c>
      <c r="D43" s="304">
        <f>'[2]CDCM Volume Forecasts'!D43</f>
        <v>7392.7733794913811</v>
      </c>
      <c r="E43" s="305">
        <f>'[2]CDCM Volume Forecasts'!E43</f>
        <v>0</v>
      </c>
      <c r="F43" s="305">
        <f>'[2]CDCM Volume Forecasts'!F43</f>
        <v>0</v>
      </c>
      <c r="G43" s="304">
        <f>'[2]CDCM Volume Forecasts'!G43</f>
        <v>462.20062191780835</v>
      </c>
      <c r="H43" s="305">
        <f>'[2]CDCM Volume Forecasts'!H43</f>
        <v>0</v>
      </c>
      <c r="I43" s="305">
        <f>'[2]CDCM Volume Forecasts'!I43</f>
        <v>0</v>
      </c>
      <c r="J43" s="305">
        <f>'[2]CDCM Volume Forecasts'!J43</f>
        <v>0</v>
      </c>
      <c r="K43" s="304">
        <f t="shared" si="3"/>
        <v>7392.7733794913811</v>
      </c>
      <c r="L43" s="305">
        <f t="shared" si="4"/>
        <v>0</v>
      </c>
      <c r="M43" s="305">
        <f t="shared" si="5"/>
        <v>0</v>
      </c>
      <c r="N43" s="304">
        <f t="shared" si="6"/>
        <v>462.20062191780835</v>
      </c>
      <c r="O43" s="305">
        <f t="shared" si="7"/>
        <v>0</v>
      </c>
      <c r="P43" s="305"/>
      <c r="Q43" s="305"/>
      <c r="R43" s="304">
        <f t="shared" si="8"/>
        <v>7392.7733794913811</v>
      </c>
      <c r="S43" s="305">
        <f t="shared" si="9"/>
        <v>0</v>
      </c>
      <c r="T43" s="305">
        <f t="shared" si="10"/>
        <v>0</v>
      </c>
      <c r="U43" s="304">
        <f t="shared" si="11"/>
        <v>462.20062191780835</v>
      </c>
      <c r="V43" s="305">
        <f t="shared" si="12"/>
        <v>0</v>
      </c>
      <c r="W43" s="305"/>
      <c r="X43" s="305"/>
      <c r="Y43" s="304">
        <f t="shared" si="13"/>
        <v>7392.7733794913811</v>
      </c>
      <c r="Z43" s="305">
        <f t="shared" si="14"/>
        <v>0</v>
      </c>
      <c r="AA43" s="305">
        <f t="shared" si="15"/>
        <v>0</v>
      </c>
      <c r="AB43" s="304">
        <f t="shared" si="16"/>
        <v>462.20062191780835</v>
      </c>
      <c r="AC43" s="305">
        <f t="shared" si="17"/>
        <v>0</v>
      </c>
      <c r="AD43" s="305"/>
      <c r="AE43" s="305"/>
      <c r="AF43" s="304">
        <f t="shared" si="18"/>
        <v>7392.7733794913811</v>
      </c>
      <c r="AG43" s="305">
        <f t="shared" si="19"/>
        <v>0</v>
      </c>
      <c r="AH43" s="305">
        <f t="shared" si="20"/>
        <v>0</v>
      </c>
      <c r="AI43" s="304">
        <f t="shared" si="21"/>
        <v>462.20062191780835</v>
      </c>
      <c r="AJ43" s="305">
        <f t="shared" si="22"/>
        <v>0</v>
      </c>
      <c r="AK43" s="305"/>
      <c r="AL43" s="305"/>
    </row>
    <row r="44" spans="1:38" ht="15">
      <c r="A44" s="26">
        <f t="shared" si="2"/>
        <v>17</v>
      </c>
      <c r="B44" s="171"/>
      <c r="C44" s="259" t="s">
        <v>120</v>
      </c>
      <c r="D44" s="303">
        <f>'[2]CDCM Volume Forecasts'!D44</f>
        <v>0</v>
      </c>
      <c r="E44" s="303">
        <f>'[2]CDCM Volume Forecasts'!E44</f>
        <v>0</v>
      </c>
      <c r="F44" s="303">
        <f>'[2]CDCM Volume Forecasts'!F44</f>
        <v>0</v>
      </c>
      <c r="G44" s="303">
        <f>'[2]CDCM Volume Forecasts'!G44</f>
        <v>0</v>
      </c>
      <c r="H44" s="303">
        <f>'[2]CDCM Volume Forecasts'!H44</f>
        <v>0</v>
      </c>
      <c r="I44" s="303">
        <f>'[2]CDCM Volume Forecasts'!I44</f>
        <v>0</v>
      </c>
      <c r="J44" s="303">
        <f>'[2]CDCM Volume Forecasts'!J44</f>
        <v>0</v>
      </c>
      <c r="K44" s="303">
        <f t="shared" si="3"/>
        <v>0</v>
      </c>
      <c r="L44" s="303">
        <f t="shared" si="4"/>
        <v>0</v>
      </c>
      <c r="M44" s="303">
        <f t="shared" si="5"/>
        <v>0</v>
      </c>
      <c r="N44" s="303">
        <f t="shared" si="6"/>
        <v>0</v>
      </c>
      <c r="O44" s="303">
        <f t="shared" si="7"/>
        <v>0</v>
      </c>
      <c r="P44" s="303"/>
      <c r="Q44" s="303"/>
      <c r="R44" s="303">
        <f t="shared" si="8"/>
        <v>0</v>
      </c>
      <c r="S44" s="303">
        <f t="shared" si="9"/>
        <v>0</v>
      </c>
      <c r="T44" s="303">
        <f t="shared" si="10"/>
        <v>0</v>
      </c>
      <c r="U44" s="303">
        <f t="shared" si="11"/>
        <v>0</v>
      </c>
      <c r="V44" s="303">
        <f t="shared" si="12"/>
        <v>0</v>
      </c>
      <c r="W44" s="303"/>
      <c r="X44" s="303"/>
      <c r="Y44" s="303">
        <f t="shared" si="13"/>
        <v>0</v>
      </c>
      <c r="Z44" s="303">
        <f t="shared" si="14"/>
        <v>0</v>
      </c>
      <c r="AA44" s="303">
        <f t="shared" si="15"/>
        <v>0</v>
      </c>
      <c r="AB44" s="303">
        <f t="shared" si="16"/>
        <v>0</v>
      </c>
      <c r="AC44" s="303">
        <f t="shared" si="17"/>
        <v>0</v>
      </c>
      <c r="AD44" s="303"/>
      <c r="AE44" s="303"/>
      <c r="AF44" s="303">
        <f t="shared" si="18"/>
        <v>0</v>
      </c>
      <c r="AG44" s="303">
        <f t="shared" si="19"/>
        <v>0</v>
      </c>
      <c r="AH44" s="303">
        <f t="shared" si="20"/>
        <v>0</v>
      </c>
      <c r="AI44" s="303">
        <f t="shared" si="21"/>
        <v>0</v>
      </c>
      <c r="AJ44" s="303">
        <f t="shared" si="22"/>
        <v>0</v>
      </c>
      <c r="AK44" s="303"/>
      <c r="AL44" s="303"/>
    </row>
    <row r="45" spans="1:38" ht="15">
      <c r="A45" s="26">
        <f t="shared" si="2"/>
        <v>18</v>
      </c>
      <c r="B45" s="171">
        <v>1</v>
      </c>
      <c r="C45" s="260" t="s">
        <v>57</v>
      </c>
      <c r="D45" s="304">
        <f>'[2]CDCM Volume Forecasts'!D45</f>
        <v>394405.65408074018</v>
      </c>
      <c r="E45" s="304">
        <f>'[2]CDCM Volume Forecasts'!E45</f>
        <v>183263.23104870663</v>
      </c>
      <c r="F45" s="305">
        <f>'[2]CDCM Volume Forecasts'!F45</f>
        <v>0</v>
      </c>
      <c r="G45" s="304">
        <f>'[2]CDCM Volume Forecasts'!G45</f>
        <v>29443.268260965255</v>
      </c>
      <c r="H45" s="305">
        <f>'[2]CDCM Volume Forecasts'!H45</f>
        <v>0</v>
      </c>
      <c r="I45" s="305">
        <f>'[2]CDCM Volume Forecasts'!I45</f>
        <v>0</v>
      </c>
      <c r="J45" s="305">
        <f>'[2]CDCM Volume Forecasts'!J45</f>
        <v>0</v>
      </c>
      <c r="K45" s="304">
        <f t="shared" si="3"/>
        <v>394405.65408074018</v>
      </c>
      <c r="L45" s="304">
        <f t="shared" si="4"/>
        <v>183263.23104870663</v>
      </c>
      <c r="M45" s="305">
        <f t="shared" si="5"/>
        <v>0</v>
      </c>
      <c r="N45" s="304">
        <f t="shared" si="6"/>
        <v>29443.268260965255</v>
      </c>
      <c r="O45" s="305">
        <f t="shared" si="7"/>
        <v>0</v>
      </c>
      <c r="P45" s="305"/>
      <c r="Q45" s="305"/>
      <c r="R45" s="304">
        <f t="shared" si="8"/>
        <v>394405.65408074018</v>
      </c>
      <c r="S45" s="304">
        <f t="shared" si="9"/>
        <v>183263.23104870663</v>
      </c>
      <c r="T45" s="305">
        <f t="shared" si="10"/>
        <v>0</v>
      </c>
      <c r="U45" s="304">
        <f t="shared" si="11"/>
        <v>29443.268260965255</v>
      </c>
      <c r="V45" s="305">
        <f t="shared" si="12"/>
        <v>0</v>
      </c>
      <c r="W45" s="305"/>
      <c r="X45" s="305"/>
      <c r="Y45" s="304">
        <f t="shared" si="13"/>
        <v>394405.65408074018</v>
      </c>
      <c r="Z45" s="304">
        <f t="shared" si="14"/>
        <v>183263.23104870663</v>
      </c>
      <c r="AA45" s="305">
        <f t="shared" si="15"/>
        <v>0</v>
      </c>
      <c r="AB45" s="304">
        <f t="shared" si="16"/>
        <v>29443.268260965255</v>
      </c>
      <c r="AC45" s="305">
        <f t="shared" si="17"/>
        <v>0</v>
      </c>
      <c r="AD45" s="305"/>
      <c r="AE45" s="305"/>
      <c r="AF45" s="304">
        <f t="shared" si="18"/>
        <v>394405.65408074018</v>
      </c>
      <c r="AG45" s="304">
        <f t="shared" si="19"/>
        <v>183263.23104870663</v>
      </c>
      <c r="AH45" s="305">
        <f t="shared" si="20"/>
        <v>0</v>
      </c>
      <c r="AI45" s="304">
        <f t="shared" si="21"/>
        <v>29443.268260965255</v>
      </c>
      <c r="AJ45" s="305">
        <f t="shared" si="22"/>
        <v>0</v>
      </c>
      <c r="AK45" s="305"/>
      <c r="AL45" s="305"/>
    </row>
    <row r="46" spans="1:38" ht="15">
      <c r="A46" s="26">
        <f t="shared" si="2"/>
        <v>19</v>
      </c>
      <c r="B46" s="171">
        <v>1</v>
      </c>
      <c r="C46" s="260" t="s">
        <v>121</v>
      </c>
      <c r="D46" s="304">
        <f>'[2]CDCM Volume Forecasts'!D46</f>
        <v>41.250505112068964</v>
      </c>
      <c r="E46" s="304">
        <f>'[2]CDCM Volume Forecasts'!E46</f>
        <v>17.318100413793108</v>
      </c>
      <c r="F46" s="305">
        <f>'[2]CDCM Volume Forecasts'!F46</f>
        <v>0</v>
      </c>
      <c r="G46" s="304">
        <f>'[2]CDCM Volume Forecasts'!G46</f>
        <v>2.757156164383562</v>
      </c>
      <c r="H46" s="305">
        <f>'[2]CDCM Volume Forecasts'!H46</f>
        <v>0</v>
      </c>
      <c r="I46" s="305">
        <f>'[2]CDCM Volume Forecasts'!I46</f>
        <v>0</v>
      </c>
      <c r="J46" s="305">
        <f>'[2]CDCM Volume Forecasts'!J46</f>
        <v>0</v>
      </c>
      <c r="K46" s="304">
        <f t="shared" si="3"/>
        <v>41.250505112068964</v>
      </c>
      <c r="L46" s="304">
        <f t="shared" si="4"/>
        <v>17.318100413793108</v>
      </c>
      <c r="M46" s="305">
        <f t="shared" si="5"/>
        <v>0</v>
      </c>
      <c r="N46" s="304">
        <f t="shared" si="6"/>
        <v>2.757156164383562</v>
      </c>
      <c r="O46" s="305">
        <f t="shared" si="7"/>
        <v>0</v>
      </c>
      <c r="P46" s="305"/>
      <c r="Q46" s="305"/>
      <c r="R46" s="304">
        <f t="shared" si="8"/>
        <v>41.250505112068964</v>
      </c>
      <c r="S46" s="304">
        <f t="shared" si="9"/>
        <v>17.318100413793108</v>
      </c>
      <c r="T46" s="305">
        <f t="shared" si="10"/>
        <v>0</v>
      </c>
      <c r="U46" s="304">
        <f t="shared" si="11"/>
        <v>2.757156164383562</v>
      </c>
      <c r="V46" s="305">
        <f t="shared" si="12"/>
        <v>0</v>
      </c>
      <c r="W46" s="305"/>
      <c r="X46" s="305"/>
      <c r="Y46" s="304">
        <f t="shared" si="13"/>
        <v>41.250505112068964</v>
      </c>
      <c r="Z46" s="304">
        <f t="shared" si="14"/>
        <v>17.318100413793108</v>
      </c>
      <c r="AA46" s="305">
        <f t="shared" si="15"/>
        <v>0</v>
      </c>
      <c r="AB46" s="304">
        <f t="shared" si="16"/>
        <v>2.757156164383562</v>
      </c>
      <c r="AC46" s="305">
        <f t="shared" si="17"/>
        <v>0</v>
      </c>
      <c r="AD46" s="305"/>
      <c r="AE46" s="305"/>
      <c r="AF46" s="304">
        <f t="shared" si="18"/>
        <v>41.250505112068964</v>
      </c>
      <c r="AG46" s="304">
        <f t="shared" si="19"/>
        <v>17.318100413793108</v>
      </c>
      <c r="AH46" s="305">
        <f t="shared" si="20"/>
        <v>0</v>
      </c>
      <c r="AI46" s="304">
        <f t="shared" si="21"/>
        <v>2.757156164383562</v>
      </c>
      <c r="AJ46" s="305">
        <f t="shared" si="22"/>
        <v>0</v>
      </c>
      <c r="AK46" s="305"/>
      <c r="AL46" s="305"/>
    </row>
    <row r="47" spans="1:38" ht="15">
      <c r="A47" s="26">
        <f t="shared" si="2"/>
        <v>20</v>
      </c>
      <c r="B47" s="171">
        <v>1</v>
      </c>
      <c r="C47" s="260" t="s">
        <v>122</v>
      </c>
      <c r="D47" s="304">
        <f>'[2]CDCM Volume Forecasts'!D47</f>
        <v>926.24888312068981</v>
      </c>
      <c r="E47" s="304">
        <f>'[2]CDCM Volume Forecasts'!E47</f>
        <v>260.32896822413795</v>
      </c>
      <c r="F47" s="305">
        <f>'[2]CDCM Volume Forecasts'!F47</f>
        <v>0</v>
      </c>
      <c r="G47" s="304">
        <f>'[2]CDCM Volume Forecasts'!G47</f>
        <v>23.554836986301375</v>
      </c>
      <c r="H47" s="305">
        <f>'[2]CDCM Volume Forecasts'!H47</f>
        <v>0</v>
      </c>
      <c r="I47" s="305">
        <f>'[2]CDCM Volume Forecasts'!I47</f>
        <v>0</v>
      </c>
      <c r="J47" s="305">
        <f>'[2]CDCM Volume Forecasts'!J47</f>
        <v>0</v>
      </c>
      <c r="K47" s="304">
        <f t="shared" si="3"/>
        <v>926.24888312068981</v>
      </c>
      <c r="L47" s="304">
        <f t="shared" si="4"/>
        <v>260.32896822413795</v>
      </c>
      <c r="M47" s="305">
        <f t="shared" si="5"/>
        <v>0</v>
      </c>
      <c r="N47" s="304">
        <f t="shared" si="6"/>
        <v>23.554836986301375</v>
      </c>
      <c r="O47" s="305">
        <f t="shared" si="7"/>
        <v>0</v>
      </c>
      <c r="P47" s="305"/>
      <c r="Q47" s="305"/>
      <c r="R47" s="304">
        <f t="shared" si="8"/>
        <v>926.24888312068981</v>
      </c>
      <c r="S47" s="304">
        <f t="shared" si="9"/>
        <v>260.32896822413795</v>
      </c>
      <c r="T47" s="305">
        <f t="shared" si="10"/>
        <v>0</v>
      </c>
      <c r="U47" s="304">
        <f t="shared" si="11"/>
        <v>23.554836986301375</v>
      </c>
      <c r="V47" s="305">
        <f t="shared" si="12"/>
        <v>0</v>
      </c>
      <c r="W47" s="305"/>
      <c r="X47" s="305"/>
      <c r="Y47" s="304">
        <f t="shared" si="13"/>
        <v>926.24888312068981</v>
      </c>
      <c r="Z47" s="304">
        <f t="shared" si="14"/>
        <v>260.32896822413795</v>
      </c>
      <c r="AA47" s="305">
        <f t="shared" si="15"/>
        <v>0</v>
      </c>
      <c r="AB47" s="304">
        <f t="shared" si="16"/>
        <v>23.554836986301375</v>
      </c>
      <c r="AC47" s="305">
        <f t="shared" si="17"/>
        <v>0</v>
      </c>
      <c r="AD47" s="305"/>
      <c r="AE47" s="305"/>
      <c r="AF47" s="304">
        <f t="shared" si="18"/>
        <v>926.24888312068981</v>
      </c>
      <c r="AG47" s="304">
        <f t="shared" si="19"/>
        <v>260.32896822413795</v>
      </c>
      <c r="AH47" s="305">
        <f t="shared" si="20"/>
        <v>0</v>
      </c>
      <c r="AI47" s="304">
        <f t="shared" si="21"/>
        <v>23.554836986301375</v>
      </c>
      <c r="AJ47" s="305">
        <f t="shared" si="22"/>
        <v>0</v>
      </c>
      <c r="AK47" s="305"/>
      <c r="AL47" s="305"/>
    </row>
    <row r="48" spans="1:38" ht="15">
      <c r="A48" s="26">
        <f t="shared" si="2"/>
        <v>21</v>
      </c>
      <c r="B48" s="171"/>
      <c r="C48" s="259" t="s">
        <v>123</v>
      </c>
      <c r="D48" s="303">
        <f>'[2]CDCM Volume Forecasts'!D48</f>
        <v>0</v>
      </c>
      <c r="E48" s="303">
        <f>'[2]CDCM Volume Forecasts'!E48</f>
        <v>0</v>
      </c>
      <c r="F48" s="303">
        <f>'[2]CDCM Volume Forecasts'!F48</f>
        <v>0</v>
      </c>
      <c r="G48" s="303">
        <f>'[2]CDCM Volume Forecasts'!G48</f>
        <v>0</v>
      </c>
      <c r="H48" s="303">
        <f>'[2]CDCM Volume Forecasts'!H48</f>
        <v>0</v>
      </c>
      <c r="I48" s="303">
        <f>'[2]CDCM Volume Forecasts'!I48</f>
        <v>0</v>
      </c>
      <c r="J48" s="303">
        <f>'[2]CDCM Volume Forecasts'!J48</f>
        <v>0</v>
      </c>
      <c r="K48" s="303">
        <f t="shared" si="3"/>
        <v>0</v>
      </c>
      <c r="L48" s="303">
        <f t="shared" si="4"/>
        <v>0</v>
      </c>
      <c r="M48" s="303">
        <f t="shared" si="5"/>
        <v>0</v>
      </c>
      <c r="N48" s="303">
        <f t="shared" si="6"/>
        <v>0</v>
      </c>
      <c r="O48" s="303">
        <f t="shared" si="7"/>
        <v>0</v>
      </c>
      <c r="P48" s="303"/>
      <c r="Q48" s="303"/>
      <c r="R48" s="303">
        <f t="shared" si="8"/>
        <v>0</v>
      </c>
      <c r="S48" s="303">
        <f t="shared" si="9"/>
        <v>0</v>
      </c>
      <c r="T48" s="303">
        <f t="shared" si="10"/>
        <v>0</v>
      </c>
      <c r="U48" s="303">
        <f t="shared" si="11"/>
        <v>0</v>
      </c>
      <c r="V48" s="303">
        <f t="shared" si="12"/>
        <v>0</v>
      </c>
      <c r="W48" s="303"/>
      <c r="X48" s="303"/>
      <c r="Y48" s="303">
        <f t="shared" si="13"/>
        <v>0</v>
      </c>
      <c r="Z48" s="303">
        <f t="shared" si="14"/>
        <v>0</v>
      </c>
      <c r="AA48" s="303">
        <f t="shared" si="15"/>
        <v>0</v>
      </c>
      <c r="AB48" s="303">
        <f t="shared" si="16"/>
        <v>0</v>
      </c>
      <c r="AC48" s="303">
        <f t="shared" si="17"/>
        <v>0</v>
      </c>
      <c r="AD48" s="303"/>
      <c r="AE48" s="303"/>
      <c r="AF48" s="303">
        <f t="shared" si="18"/>
        <v>0</v>
      </c>
      <c r="AG48" s="303">
        <f t="shared" si="19"/>
        <v>0</v>
      </c>
      <c r="AH48" s="303">
        <f t="shared" si="20"/>
        <v>0</v>
      </c>
      <c r="AI48" s="303">
        <f t="shared" si="21"/>
        <v>0</v>
      </c>
      <c r="AJ48" s="303">
        <f t="shared" si="22"/>
        <v>0</v>
      </c>
      <c r="AK48" s="303"/>
      <c r="AL48" s="303"/>
    </row>
    <row r="49" spans="1:38" ht="15">
      <c r="A49" s="26">
        <f t="shared" si="2"/>
        <v>22</v>
      </c>
      <c r="B49" s="171">
        <v>1</v>
      </c>
      <c r="C49" s="260" t="s">
        <v>92</v>
      </c>
      <c r="D49" s="304">
        <f>'[2]CDCM Volume Forecasts'!D49</f>
        <v>17319.819478475714</v>
      </c>
      <c r="E49" s="305">
        <f>'[2]CDCM Volume Forecasts'!E49</f>
        <v>0</v>
      </c>
      <c r="F49" s="305">
        <f>'[2]CDCM Volume Forecasts'!F49</f>
        <v>0</v>
      </c>
      <c r="G49" s="304">
        <f>'[2]CDCM Volume Forecasts'!G49</f>
        <v>3339</v>
      </c>
      <c r="H49" s="305">
        <f>'[2]CDCM Volume Forecasts'!H49</f>
        <v>0</v>
      </c>
      <c r="I49" s="305">
        <f>'[2]CDCM Volume Forecasts'!I49</f>
        <v>0</v>
      </c>
      <c r="J49" s="305">
        <f>'[2]CDCM Volume Forecasts'!J49</f>
        <v>0</v>
      </c>
      <c r="K49" s="304">
        <f t="shared" si="3"/>
        <v>17319.819478475714</v>
      </c>
      <c r="L49" s="305">
        <f t="shared" si="4"/>
        <v>0</v>
      </c>
      <c r="M49" s="305">
        <f t="shared" si="5"/>
        <v>0</v>
      </c>
      <c r="N49" s="304">
        <f t="shared" si="6"/>
        <v>3339</v>
      </c>
      <c r="O49" s="305">
        <f t="shared" si="7"/>
        <v>0</v>
      </c>
      <c r="P49" s="305"/>
      <c r="Q49" s="305"/>
      <c r="R49" s="304">
        <f t="shared" si="8"/>
        <v>17319.819478475714</v>
      </c>
      <c r="S49" s="305">
        <f t="shared" si="9"/>
        <v>0</v>
      </c>
      <c r="T49" s="305">
        <f t="shared" si="10"/>
        <v>0</v>
      </c>
      <c r="U49" s="304">
        <f t="shared" si="11"/>
        <v>3339</v>
      </c>
      <c r="V49" s="305">
        <f t="shared" si="12"/>
        <v>0</v>
      </c>
      <c r="W49" s="305"/>
      <c r="X49" s="305"/>
      <c r="Y49" s="304">
        <f t="shared" si="13"/>
        <v>17319.819478475714</v>
      </c>
      <c r="Z49" s="305">
        <f t="shared" si="14"/>
        <v>0</v>
      </c>
      <c r="AA49" s="305">
        <f t="shared" si="15"/>
        <v>0</v>
      </c>
      <c r="AB49" s="304">
        <f t="shared" si="16"/>
        <v>3339</v>
      </c>
      <c r="AC49" s="305">
        <f t="shared" si="17"/>
        <v>0</v>
      </c>
      <c r="AD49" s="305"/>
      <c r="AE49" s="305"/>
      <c r="AF49" s="304">
        <f t="shared" si="18"/>
        <v>17319.819478475714</v>
      </c>
      <c r="AG49" s="305">
        <f t="shared" si="19"/>
        <v>0</v>
      </c>
      <c r="AH49" s="305">
        <f t="shared" si="20"/>
        <v>0</v>
      </c>
      <c r="AI49" s="304">
        <f t="shared" si="21"/>
        <v>3339</v>
      </c>
      <c r="AJ49" s="305">
        <f t="shared" si="22"/>
        <v>0</v>
      </c>
      <c r="AK49" s="305"/>
      <c r="AL49" s="305"/>
    </row>
    <row r="50" spans="1:38" ht="15">
      <c r="A50" s="26">
        <f t="shared" si="2"/>
        <v>23</v>
      </c>
      <c r="B50" s="171">
        <v>1</v>
      </c>
      <c r="C50" s="260" t="s">
        <v>124</v>
      </c>
      <c r="D50" s="304">
        <f>'[2]CDCM Volume Forecasts'!D50</f>
        <v>0</v>
      </c>
      <c r="E50" s="305">
        <f>'[2]CDCM Volume Forecasts'!E50</f>
        <v>0</v>
      </c>
      <c r="F50" s="305">
        <f>'[2]CDCM Volume Forecasts'!F50</f>
        <v>0</v>
      </c>
      <c r="G50" s="304">
        <f>'[2]CDCM Volume Forecasts'!G50</f>
        <v>0</v>
      </c>
      <c r="H50" s="305">
        <f>'[2]CDCM Volume Forecasts'!H50</f>
        <v>0</v>
      </c>
      <c r="I50" s="305">
        <f>'[2]CDCM Volume Forecasts'!I50</f>
        <v>0</v>
      </c>
      <c r="J50" s="305">
        <f>'[2]CDCM Volume Forecasts'!J50</f>
        <v>0</v>
      </c>
      <c r="K50" s="304">
        <f t="shared" si="3"/>
        <v>0</v>
      </c>
      <c r="L50" s="305">
        <f t="shared" si="4"/>
        <v>0</v>
      </c>
      <c r="M50" s="305">
        <f t="shared" si="5"/>
        <v>0</v>
      </c>
      <c r="N50" s="304">
        <f t="shared" si="6"/>
        <v>0</v>
      </c>
      <c r="O50" s="305">
        <f t="shared" si="7"/>
        <v>0</v>
      </c>
      <c r="P50" s="305"/>
      <c r="Q50" s="305"/>
      <c r="R50" s="304">
        <f t="shared" si="8"/>
        <v>0</v>
      </c>
      <c r="S50" s="305">
        <f t="shared" si="9"/>
        <v>0</v>
      </c>
      <c r="T50" s="305">
        <f t="shared" si="10"/>
        <v>0</v>
      </c>
      <c r="U50" s="304">
        <f t="shared" si="11"/>
        <v>0</v>
      </c>
      <c r="V50" s="305">
        <f t="shared" si="12"/>
        <v>0</v>
      </c>
      <c r="W50" s="305"/>
      <c r="X50" s="305"/>
      <c r="Y50" s="304">
        <f t="shared" si="13"/>
        <v>0</v>
      </c>
      <c r="Z50" s="305">
        <f t="shared" si="14"/>
        <v>0</v>
      </c>
      <c r="AA50" s="305">
        <f t="shared" si="15"/>
        <v>0</v>
      </c>
      <c r="AB50" s="304">
        <f t="shared" si="16"/>
        <v>0</v>
      </c>
      <c r="AC50" s="305">
        <f t="shared" si="17"/>
        <v>0</v>
      </c>
      <c r="AD50" s="305"/>
      <c r="AE50" s="305"/>
      <c r="AF50" s="304">
        <f t="shared" si="18"/>
        <v>0</v>
      </c>
      <c r="AG50" s="305">
        <f t="shared" si="19"/>
        <v>0</v>
      </c>
      <c r="AH50" s="305">
        <f t="shared" si="20"/>
        <v>0</v>
      </c>
      <c r="AI50" s="304">
        <f t="shared" si="21"/>
        <v>0</v>
      </c>
      <c r="AJ50" s="305">
        <f t="shared" si="22"/>
        <v>0</v>
      </c>
      <c r="AK50" s="305"/>
      <c r="AL50" s="305"/>
    </row>
    <row r="51" spans="1:38" ht="15">
      <c r="A51" s="26">
        <f t="shared" si="2"/>
        <v>24</v>
      </c>
      <c r="B51" s="171">
        <v>1</v>
      </c>
      <c r="C51" s="260" t="s">
        <v>125</v>
      </c>
      <c r="D51" s="304">
        <f>'[2]CDCM Volume Forecasts'!D51</f>
        <v>0</v>
      </c>
      <c r="E51" s="305">
        <f>'[2]CDCM Volume Forecasts'!E51</f>
        <v>0</v>
      </c>
      <c r="F51" s="305">
        <f>'[2]CDCM Volume Forecasts'!F51</f>
        <v>0</v>
      </c>
      <c r="G51" s="304">
        <f>'[2]CDCM Volume Forecasts'!G51</f>
        <v>0</v>
      </c>
      <c r="H51" s="305">
        <f>'[2]CDCM Volume Forecasts'!H51</f>
        <v>0</v>
      </c>
      <c r="I51" s="305">
        <f>'[2]CDCM Volume Forecasts'!I51</f>
        <v>0</v>
      </c>
      <c r="J51" s="305">
        <f>'[2]CDCM Volume Forecasts'!J51</f>
        <v>0</v>
      </c>
      <c r="K51" s="304">
        <f t="shared" si="3"/>
        <v>0</v>
      </c>
      <c r="L51" s="305">
        <f t="shared" si="4"/>
        <v>0</v>
      </c>
      <c r="M51" s="305">
        <f t="shared" si="5"/>
        <v>0</v>
      </c>
      <c r="N51" s="304">
        <f t="shared" si="6"/>
        <v>0</v>
      </c>
      <c r="O51" s="305">
        <f t="shared" si="7"/>
        <v>0</v>
      </c>
      <c r="P51" s="305"/>
      <c r="Q51" s="305"/>
      <c r="R51" s="304">
        <f t="shared" si="8"/>
        <v>0</v>
      </c>
      <c r="S51" s="305">
        <f t="shared" si="9"/>
        <v>0</v>
      </c>
      <c r="T51" s="305">
        <f t="shared" si="10"/>
        <v>0</v>
      </c>
      <c r="U51" s="304">
        <f t="shared" si="11"/>
        <v>0</v>
      </c>
      <c r="V51" s="305">
        <f t="shared" si="12"/>
        <v>0</v>
      </c>
      <c r="W51" s="305"/>
      <c r="X51" s="305"/>
      <c r="Y51" s="304">
        <f t="shared" si="13"/>
        <v>0</v>
      </c>
      <c r="Z51" s="305">
        <f t="shared" si="14"/>
        <v>0</v>
      </c>
      <c r="AA51" s="305">
        <f t="shared" si="15"/>
        <v>0</v>
      </c>
      <c r="AB51" s="304">
        <f t="shared" si="16"/>
        <v>0</v>
      </c>
      <c r="AC51" s="305">
        <f t="shared" si="17"/>
        <v>0</v>
      </c>
      <c r="AD51" s="305"/>
      <c r="AE51" s="305"/>
      <c r="AF51" s="304">
        <f t="shared" si="18"/>
        <v>0</v>
      </c>
      <c r="AG51" s="305">
        <f t="shared" si="19"/>
        <v>0</v>
      </c>
      <c r="AH51" s="305">
        <f t="shared" si="20"/>
        <v>0</v>
      </c>
      <c r="AI51" s="304">
        <f t="shared" si="21"/>
        <v>0</v>
      </c>
      <c r="AJ51" s="305">
        <f t="shared" si="22"/>
        <v>0</v>
      </c>
      <c r="AK51" s="305"/>
      <c r="AL51" s="305"/>
    </row>
    <row r="52" spans="1:38" ht="15">
      <c r="A52" s="26">
        <f t="shared" si="2"/>
        <v>25</v>
      </c>
      <c r="B52" s="171"/>
      <c r="C52" s="259" t="s">
        <v>126</v>
      </c>
      <c r="D52" s="303">
        <f>'[2]CDCM Volume Forecasts'!D52</f>
        <v>0</v>
      </c>
      <c r="E52" s="303">
        <f>'[2]CDCM Volume Forecasts'!E52</f>
        <v>0</v>
      </c>
      <c r="F52" s="303">
        <f>'[2]CDCM Volume Forecasts'!F52</f>
        <v>0</v>
      </c>
      <c r="G52" s="303">
        <f>'[2]CDCM Volume Forecasts'!G52</f>
        <v>0</v>
      </c>
      <c r="H52" s="303">
        <f>'[2]CDCM Volume Forecasts'!H52</f>
        <v>0</v>
      </c>
      <c r="I52" s="303">
        <f>'[2]CDCM Volume Forecasts'!I52</f>
        <v>0</v>
      </c>
      <c r="J52" s="303">
        <f>'[2]CDCM Volume Forecasts'!J52</f>
        <v>0</v>
      </c>
      <c r="K52" s="303">
        <f t="shared" si="3"/>
        <v>0</v>
      </c>
      <c r="L52" s="303">
        <f t="shared" si="4"/>
        <v>0</v>
      </c>
      <c r="M52" s="303">
        <f t="shared" si="5"/>
        <v>0</v>
      </c>
      <c r="N52" s="303">
        <f t="shared" si="6"/>
        <v>0</v>
      </c>
      <c r="O52" s="303">
        <f t="shared" si="7"/>
        <v>0</v>
      </c>
      <c r="P52" s="303"/>
      <c r="Q52" s="303"/>
      <c r="R52" s="303">
        <f t="shared" si="8"/>
        <v>0</v>
      </c>
      <c r="S52" s="303">
        <f t="shared" si="9"/>
        <v>0</v>
      </c>
      <c r="T52" s="303">
        <f t="shared" si="10"/>
        <v>0</v>
      </c>
      <c r="U52" s="303">
        <f t="shared" si="11"/>
        <v>0</v>
      </c>
      <c r="V52" s="303">
        <f t="shared" si="12"/>
        <v>0</v>
      </c>
      <c r="W52" s="303"/>
      <c r="X52" s="303"/>
      <c r="Y52" s="303">
        <f t="shared" si="13"/>
        <v>0</v>
      </c>
      <c r="Z52" s="303">
        <f t="shared" si="14"/>
        <v>0</v>
      </c>
      <c r="AA52" s="303">
        <f t="shared" si="15"/>
        <v>0</v>
      </c>
      <c r="AB52" s="303">
        <f t="shared" si="16"/>
        <v>0</v>
      </c>
      <c r="AC52" s="303">
        <f t="shared" si="17"/>
        <v>0</v>
      </c>
      <c r="AD52" s="303"/>
      <c r="AE52" s="303"/>
      <c r="AF52" s="303">
        <f t="shared" si="18"/>
        <v>0</v>
      </c>
      <c r="AG52" s="303">
        <f t="shared" si="19"/>
        <v>0</v>
      </c>
      <c r="AH52" s="303">
        <f t="shared" si="20"/>
        <v>0</v>
      </c>
      <c r="AI52" s="303">
        <f t="shared" si="21"/>
        <v>0</v>
      </c>
      <c r="AJ52" s="303">
        <f t="shared" si="22"/>
        <v>0</v>
      </c>
      <c r="AK52" s="303"/>
      <c r="AL52" s="303"/>
    </row>
    <row r="53" spans="1:38" ht="15">
      <c r="A53" s="26">
        <f t="shared" si="2"/>
        <v>26</v>
      </c>
      <c r="B53" s="171">
        <v>1</v>
      </c>
      <c r="C53" s="260" t="s">
        <v>58</v>
      </c>
      <c r="D53" s="304">
        <f>'[2]CDCM Volume Forecasts'!D53</f>
        <v>8.0133204024159801E-4</v>
      </c>
      <c r="E53" s="304">
        <f>'[2]CDCM Volume Forecasts'!E53</f>
        <v>1.9866795975840209E-4</v>
      </c>
      <c r="F53" s="305">
        <f>'[2]CDCM Volume Forecasts'!F53</f>
        <v>0</v>
      </c>
      <c r="G53" s="304">
        <f>'[2]CDCM Volume Forecasts'!G53</f>
        <v>1.1375306250331345E-5</v>
      </c>
      <c r="H53" s="305">
        <f>'[2]CDCM Volume Forecasts'!H53</f>
        <v>0</v>
      </c>
      <c r="I53" s="305">
        <f>'[2]CDCM Volume Forecasts'!I53</f>
        <v>0</v>
      </c>
      <c r="J53" s="305">
        <f>'[2]CDCM Volume Forecasts'!J53</f>
        <v>0</v>
      </c>
      <c r="K53" s="304">
        <f t="shared" si="3"/>
        <v>8.0133204024159801E-4</v>
      </c>
      <c r="L53" s="304">
        <f t="shared" si="4"/>
        <v>1.9866795975840209E-4</v>
      </c>
      <c r="M53" s="305">
        <f t="shared" si="5"/>
        <v>0</v>
      </c>
      <c r="N53" s="304">
        <f t="shared" si="6"/>
        <v>1.1375306250331345E-5</v>
      </c>
      <c r="O53" s="305">
        <f t="shared" si="7"/>
        <v>0</v>
      </c>
      <c r="P53" s="305"/>
      <c r="Q53" s="305"/>
      <c r="R53" s="304">
        <f t="shared" si="8"/>
        <v>8.0133204024159801E-4</v>
      </c>
      <c r="S53" s="304">
        <f t="shared" si="9"/>
        <v>1.9866795975840209E-4</v>
      </c>
      <c r="T53" s="305">
        <f t="shared" si="10"/>
        <v>0</v>
      </c>
      <c r="U53" s="304">
        <f t="shared" si="11"/>
        <v>1.1375306250331345E-5</v>
      </c>
      <c r="V53" s="305">
        <f t="shared" si="12"/>
        <v>0</v>
      </c>
      <c r="W53" s="305"/>
      <c r="X53" s="305"/>
      <c r="Y53" s="304">
        <f t="shared" si="13"/>
        <v>8.0133204024159801E-4</v>
      </c>
      <c r="Z53" s="304">
        <f t="shared" si="14"/>
        <v>1.9866795975840209E-4</v>
      </c>
      <c r="AA53" s="305">
        <f t="shared" si="15"/>
        <v>0</v>
      </c>
      <c r="AB53" s="304">
        <f t="shared" si="16"/>
        <v>1.1375306250331345E-5</v>
      </c>
      <c r="AC53" s="305">
        <f t="shared" si="17"/>
        <v>0</v>
      </c>
      <c r="AD53" s="305"/>
      <c r="AE53" s="305"/>
      <c r="AF53" s="304">
        <f t="shared" si="18"/>
        <v>8.0133204024159801E-4</v>
      </c>
      <c r="AG53" s="304">
        <f t="shared" si="19"/>
        <v>1.9866795975840209E-4</v>
      </c>
      <c r="AH53" s="305">
        <f t="shared" si="20"/>
        <v>0</v>
      </c>
      <c r="AI53" s="304">
        <f t="shared" si="21"/>
        <v>1.1375306250331345E-5</v>
      </c>
      <c r="AJ53" s="305">
        <f t="shared" si="22"/>
        <v>0</v>
      </c>
      <c r="AK53" s="305"/>
      <c r="AL53" s="305"/>
    </row>
    <row r="54" spans="1:38" ht="15">
      <c r="A54" s="26">
        <f t="shared" si="2"/>
        <v>27</v>
      </c>
      <c r="B54" s="171">
        <v>1</v>
      </c>
      <c r="C54" s="260" t="s">
        <v>127</v>
      </c>
      <c r="D54" s="304">
        <f>'[2]CDCM Volume Forecasts'!D54</f>
        <v>0</v>
      </c>
      <c r="E54" s="304">
        <f>'[2]CDCM Volume Forecasts'!E54</f>
        <v>0</v>
      </c>
      <c r="F54" s="305">
        <f>'[2]CDCM Volume Forecasts'!F54</f>
        <v>0</v>
      </c>
      <c r="G54" s="304">
        <f>'[2]CDCM Volume Forecasts'!G54</f>
        <v>0</v>
      </c>
      <c r="H54" s="305">
        <f>'[2]CDCM Volume Forecasts'!H54</f>
        <v>0</v>
      </c>
      <c r="I54" s="305">
        <f>'[2]CDCM Volume Forecasts'!I54</f>
        <v>0</v>
      </c>
      <c r="J54" s="305">
        <f>'[2]CDCM Volume Forecasts'!J54</f>
        <v>0</v>
      </c>
      <c r="K54" s="304">
        <f t="shared" si="3"/>
        <v>0</v>
      </c>
      <c r="L54" s="304">
        <f t="shared" si="4"/>
        <v>0</v>
      </c>
      <c r="M54" s="305">
        <f t="shared" si="5"/>
        <v>0</v>
      </c>
      <c r="N54" s="304">
        <f t="shared" si="6"/>
        <v>0</v>
      </c>
      <c r="O54" s="305">
        <f t="shared" si="7"/>
        <v>0</v>
      </c>
      <c r="P54" s="305"/>
      <c r="Q54" s="305"/>
      <c r="R54" s="304">
        <f t="shared" si="8"/>
        <v>0</v>
      </c>
      <c r="S54" s="304">
        <f t="shared" si="9"/>
        <v>0</v>
      </c>
      <c r="T54" s="305">
        <f t="shared" si="10"/>
        <v>0</v>
      </c>
      <c r="U54" s="304">
        <f t="shared" si="11"/>
        <v>0</v>
      </c>
      <c r="V54" s="305">
        <f t="shared" si="12"/>
        <v>0</v>
      </c>
      <c r="W54" s="305"/>
      <c r="X54" s="305"/>
      <c r="Y54" s="304">
        <f t="shared" si="13"/>
        <v>0</v>
      </c>
      <c r="Z54" s="304">
        <f t="shared" si="14"/>
        <v>0</v>
      </c>
      <c r="AA54" s="305">
        <f t="shared" si="15"/>
        <v>0</v>
      </c>
      <c r="AB54" s="304">
        <f t="shared" si="16"/>
        <v>0</v>
      </c>
      <c r="AC54" s="305">
        <f t="shared" si="17"/>
        <v>0</v>
      </c>
      <c r="AD54" s="305"/>
      <c r="AE54" s="305"/>
      <c r="AF54" s="304">
        <f t="shared" si="18"/>
        <v>0</v>
      </c>
      <c r="AG54" s="304">
        <f t="shared" si="19"/>
        <v>0</v>
      </c>
      <c r="AH54" s="305">
        <f t="shared" si="20"/>
        <v>0</v>
      </c>
      <c r="AI54" s="304">
        <f t="shared" si="21"/>
        <v>0</v>
      </c>
      <c r="AJ54" s="305">
        <f t="shared" si="22"/>
        <v>0</v>
      </c>
      <c r="AK54" s="305"/>
      <c r="AL54" s="305"/>
    </row>
    <row r="55" spans="1:38" ht="15">
      <c r="A55" s="26">
        <f t="shared" si="2"/>
        <v>28</v>
      </c>
      <c r="B55" s="171">
        <v>1</v>
      </c>
      <c r="C55" s="260" t="s">
        <v>128</v>
      </c>
      <c r="D55" s="304">
        <f>'[2]CDCM Volume Forecasts'!D55</f>
        <v>0</v>
      </c>
      <c r="E55" s="304">
        <f>'[2]CDCM Volume Forecasts'!E55</f>
        <v>0</v>
      </c>
      <c r="F55" s="305">
        <f>'[2]CDCM Volume Forecasts'!F55</f>
        <v>0</v>
      </c>
      <c r="G55" s="304">
        <f>'[2]CDCM Volume Forecasts'!G55</f>
        <v>0</v>
      </c>
      <c r="H55" s="305">
        <f>'[2]CDCM Volume Forecasts'!H55</f>
        <v>0</v>
      </c>
      <c r="I55" s="305">
        <f>'[2]CDCM Volume Forecasts'!I55</f>
        <v>0</v>
      </c>
      <c r="J55" s="305">
        <f>'[2]CDCM Volume Forecasts'!J55</f>
        <v>0</v>
      </c>
      <c r="K55" s="304">
        <f t="shared" si="3"/>
        <v>0</v>
      </c>
      <c r="L55" s="304">
        <f t="shared" si="4"/>
        <v>0</v>
      </c>
      <c r="M55" s="305">
        <f t="shared" si="5"/>
        <v>0</v>
      </c>
      <c r="N55" s="304">
        <f t="shared" si="6"/>
        <v>0</v>
      </c>
      <c r="O55" s="305">
        <f t="shared" si="7"/>
        <v>0</v>
      </c>
      <c r="P55" s="305"/>
      <c r="Q55" s="305"/>
      <c r="R55" s="304">
        <f t="shared" si="8"/>
        <v>0</v>
      </c>
      <c r="S55" s="304">
        <f t="shared" si="9"/>
        <v>0</v>
      </c>
      <c r="T55" s="305">
        <f t="shared" si="10"/>
        <v>0</v>
      </c>
      <c r="U55" s="304">
        <f t="shared" si="11"/>
        <v>0</v>
      </c>
      <c r="V55" s="305">
        <f t="shared" si="12"/>
        <v>0</v>
      </c>
      <c r="W55" s="305"/>
      <c r="X55" s="305"/>
      <c r="Y55" s="304">
        <f t="shared" si="13"/>
        <v>0</v>
      </c>
      <c r="Z55" s="304">
        <f t="shared" si="14"/>
        <v>0</v>
      </c>
      <c r="AA55" s="305">
        <f t="shared" si="15"/>
        <v>0</v>
      </c>
      <c r="AB55" s="304">
        <f t="shared" si="16"/>
        <v>0</v>
      </c>
      <c r="AC55" s="305">
        <f t="shared" si="17"/>
        <v>0</v>
      </c>
      <c r="AD55" s="305"/>
      <c r="AE55" s="305"/>
      <c r="AF55" s="304">
        <f t="shared" si="18"/>
        <v>0</v>
      </c>
      <c r="AG55" s="304">
        <f t="shared" si="19"/>
        <v>0</v>
      </c>
      <c r="AH55" s="305">
        <f t="shared" si="20"/>
        <v>0</v>
      </c>
      <c r="AI55" s="304">
        <f t="shared" si="21"/>
        <v>0</v>
      </c>
      <c r="AJ55" s="305">
        <f t="shared" si="22"/>
        <v>0</v>
      </c>
      <c r="AK55" s="305"/>
      <c r="AL55" s="305"/>
    </row>
    <row r="56" spans="1:38" ht="15">
      <c r="A56" s="26">
        <f t="shared" si="2"/>
        <v>29</v>
      </c>
      <c r="B56" s="171"/>
      <c r="C56" s="259" t="s">
        <v>129</v>
      </c>
      <c r="D56" s="303">
        <f>'[2]CDCM Volume Forecasts'!D56</f>
        <v>0</v>
      </c>
      <c r="E56" s="303">
        <f>'[2]CDCM Volume Forecasts'!E56</f>
        <v>0</v>
      </c>
      <c r="F56" s="303">
        <f>'[2]CDCM Volume Forecasts'!F56</f>
        <v>0</v>
      </c>
      <c r="G56" s="303">
        <f>'[2]CDCM Volume Forecasts'!G56</f>
        <v>0</v>
      </c>
      <c r="H56" s="303">
        <f>'[2]CDCM Volume Forecasts'!H56</f>
        <v>0</v>
      </c>
      <c r="I56" s="303">
        <f>'[2]CDCM Volume Forecasts'!I56</f>
        <v>0</v>
      </c>
      <c r="J56" s="303">
        <f>'[2]CDCM Volume Forecasts'!J56</f>
        <v>0</v>
      </c>
      <c r="K56" s="303">
        <f t="shared" si="3"/>
        <v>0</v>
      </c>
      <c r="L56" s="303">
        <f t="shared" si="4"/>
        <v>0</v>
      </c>
      <c r="M56" s="303">
        <f t="shared" si="5"/>
        <v>0</v>
      </c>
      <c r="N56" s="303">
        <f t="shared" si="6"/>
        <v>0</v>
      </c>
      <c r="O56" s="303">
        <f t="shared" si="7"/>
        <v>0</v>
      </c>
      <c r="P56" s="303"/>
      <c r="Q56" s="303"/>
      <c r="R56" s="303">
        <f t="shared" si="8"/>
        <v>0</v>
      </c>
      <c r="S56" s="303">
        <f t="shared" si="9"/>
        <v>0</v>
      </c>
      <c r="T56" s="303">
        <f t="shared" si="10"/>
        <v>0</v>
      </c>
      <c r="U56" s="303">
        <f t="shared" si="11"/>
        <v>0</v>
      </c>
      <c r="V56" s="303">
        <f t="shared" si="12"/>
        <v>0</v>
      </c>
      <c r="W56" s="303"/>
      <c r="X56" s="303"/>
      <c r="Y56" s="303">
        <f t="shared" si="13"/>
        <v>0</v>
      </c>
      <c r="Z56" s="303">
        <f t="shared" si="14"/>
        <v>0</v>
      </c>
      <c r="AA56" s="303">
        <f t="shared" si="15"/>
        <v>0</v>
      </c>
      <c r="AB56" s="303">
        <f t="shared" si="16"/>
        <v>0</v>
      </c>
      <c r="AC56" s="303">
        <f t="shared" si="17"/>
        <v>0</v>
      </c>
      <c r="AD56" s="303"/>
      <c r="AE56" s="303"/>
      <c r="AF56" s="303">
        <f t="shared" si="18"/>
        <v>0</v>
      </c>
      <c r="AG56" s="303">
        <f t="shared" si="19"/>
        <v>0</v>
      </c>
      <c r="AH56" s="303">
        <f t="shared" si="20"/>
        <v>0</v>
      </c>
      <c r="AI56" s="303">
        <f t="shared" si="21"/>
        <v>0</v>
      </c>
      <c r="AJ56" s="303">
        <f t="shared" si="22"/>
        <v>0</v>
      </c>
      <c r="AK56" s="303"/>
      <c r="AL56" s="303"/>
    </row>
    <row r="57" spans="1:38" ht="15">
      <c r="A57" s="26">
        <f t="shared" si="2"/>
        <v>30</v>
      </c>
      <c r="B57" s="171">
        <v>1</v>
      </c>
      <c r="C57" s="260" t="s">
        <v>59</v>
      </c>
      <c r="D57" s="304">
        <f>'[2]CDCM Volume Forecasts'!D57</f>
        <v>7.8187632481715845E-4</v>
      </c>
      <c r="E57" s="304">
        <f>'[2]CDCM Volume Forecasts'!E57</f>
        <v>2.1812367518284149E-4</v>
      </c>
      <c r="F57" s="305">
        <f>'[2]CDCM Volume Forecasts'!F57</f>
        <v>0</v>
      </c>
      <c r="G57" s="304">
        <f>'[2]CDCM Volume Forecasts'!G57</f>
        <v>8.3651490727006342E-6</v>
      </c>
      <c r="H57" s="305">
        <f>'[2]CDCM Volume Forecasts'!H57</f>
        <v>0</v>
      </c>
      <c r="I57" s="305">
        <f>'[2]CDCM Volume Forecasts'!I57</f>
        <v>0</v>
      </c>
      <c r="J57" s="305">
        <f>'[2]CDCM Volume Forecasts'!J57</f>
        <v>0</v>
      </c>
      <c r="K57" s="304">
        <f t="shared" si="3"/>
        <v>7.8187632481715845E-4</v>
      </c>
      <c r="L57" s="304">
        <f t="shared" si="4"/>
        <v>2.1812367518284149E-4</v>
      </c>
      <c r="M57" s="305">
        <f t="shared" si="5"/>
        <v>0</v>
      </c>
      <c r="N57" s="304">
        <f t="shared" si="6"/>
        <v>8.3651490727006342E-6</v>
      </c>
      <c r="O57" s="305">
        <f t="shared" si="7"/>
        <v>0</v>
      </c>
      <c r="P57" s="305"/>
      <c r="Q57" s="305"/>
      <c r="R57" s="304">
        <f t="shared" si="8"/>
        <v>7.8187632481715845E-4</v>
      </c>
      <c r="S57" s="304">
        <f t="shared" si="9"/>
        <v>2.1812367518284149E-4</v>
      </c>
      <c r="T57" s="305">
        <f t="shared" si="10"/>
        <v>0</v>
      </c>
      <c r="U57" s="304">
        <f t="shared" si="11"/>
        <v>8.3651490727006342E-6</v>
      </c>
      <c r="V57" s="305">
        <f t="shared" si="12"/>
        <v>0</v>
      </c>
      <c r="W57" s="305"/>
      <c r="X57" s="305"/>
      <c r="Y57" s="304">
        <f t="shared" si="13"/>
        <v>7.8187632481715845E-4</v>
      </c>
      <c r="Z57" s="304">
        <f t="shared" si="14"/>
        <v>2.1812367518284149E-4</v>
      </c>
      <c r="AA57" s="305">
        <f t="shared" si="15"/>
        <v>0</v>
      </c>
      <c r="AB57" s="304">
        <f t="shared" si="16"/>
        <v>8.3651490727006342E-6</v>
      </c>
      <c r="AC57" s="305">
        <f t="shared" si="17"/>
        <v>0</v>
      </c>
      <c r="AD57" s="305"/>
      <c r="AE57" s="305"/>
      <c r="AF57" s="304">
        <f t="shared" si="18"/>
        <v>7.8187632481715845E-4</v>
      </c>
      <c r="AG57" s="304">
        <f t="shared" si="19"/>
        <v>2.1812367518284149E-4</v>
      </c>
      <c r="AH57" s="305">
        <f t="shared" si="20"/>
        <v>0</v>
      </c>
      <c r="AI57" s="304">
        <f t="shared" si="21"/>
        <v>8.3651490727006342E-6</v>
      </c>
      <c r="AJ57" s="305">
        <f t="shared" si="22"/>
        <v>0</v>
      </c>
      <c r="AK57" s="305"/>
      <c r="AL57" s="305"/>
    </row>
    <row r="58" spans="1:38" ht="15">
      <c r="A58" s="26">
        <f t="shared" si="2"/>
        <v>31</v>
      </c>
      <c r="B58" s="171"/>
      <c r="C58" s="259" t="s">
        <v>130</v>
      </c>
      <c r="D58" s="303">
        <f>'[2]CDCM Volume Forecasts'!D58</f>
        <v>0</v>
      </c>
      <c r="E58" s="303">
        <f>'[2]CDCM Volume Forecasts'!E58</f>
        <v>0</v>
      </c>
      <c r="F58" s="303">
        <f>'[2]CDCM Volume Forecasts'!F58</f>
        <v>0</v>
      </c>
      <c r="G58" s="303">
        <f>'[2]CDCM Volume Forecasts'!G58</f>
        <v>0</v>
      </c>
      <c r="H58" s="303">
        <f>'[2]CDCM Volume Forecasts'!H58</f>
        <v>0</v>
      </c>
      <c r="I58" s="303">
        <f>'[2]CDCM Volume Forecasts'!I58</f>
        <v>0</v>
      </c>
      <c r="J58" s="303">
        <f>'[2]CDCM Volume Forecasts'!J58</f>
        <v>0</v>
      </c>
      <c r="K58" s="303">
        <f t="shared" si="3"/>
        <v>0</v>
      </c>
      <c r="L58" s="303">
        <f t="shared" si="4"/>
        <v>0</v>
      </c>
      <c r="M58" s="303">
        <f t="shared" si="5"/>
        <v>0</v>
      </c>
      <c r="N58" s="303">
        <f t="shared" si="6"/>
        <v>0</v>
      </c>
      <c r="O58" s="303">
        <f t="shared" si="7"/>
        <v>0</v>
      </c>
      <c r="P58" s="303"/>
      <c r="Q58" s="303"/>
      <c r="R58" s="303">
        <f t="shared" si="8"/>
        <v>0</v>
      </c>
      <c r="S58" s="303">
        <f t="shared" si="9"/>
        <v>0</v>
      </c>
      <c r="T58" s="303">
        <f t="shared" si="10"/>
        <v>0</v>
      </c>
      <c r="U58" s="303">
        <f t="shared" si="11"/>
        <v>0</v>
      </c>
      <c r="V58" s="303">
        <f t="shared" si="12"/>
        <v>0</v>
      </c>
      <c r="W58" s="303"/>
      <c r="X58" s="303"/>
      <c r="Y58" s="303">
        <f t="shared" si="13"/>
        <v>0</v>
      </c>
      <c r="Z58" s="303">
        <f t="shared" si="14"/>
        <v>0</v>
      </c>
      <c r="AA58" s="303">
        <f t="shared" si="15"/>
        <v>0</v>
      </c>
      <c r="AB58" s="303">
        <f t="shared" si="16"/>
        <v>0</v>
      </c>
      <c r="AC58" s="303">
        <f t="shared" si="17"/>
        <v>0</v>
      </c>
      <c r="AD58" s="303"/>
      <c r="AE58" s="303"/>
      <c r="AF58" s="303">
        <f t="shared" si="18"/>
        <v>0</v>
      </c>
      <c r="AG58" s="303">
        <f t="shared" si="19"/>
        <v>0</v>
      </c>
      <c r="AH58" s="303">
        <f t="shared" si="20"/>
        <v>0</v>
      </c>
      <c r="AI58" s="303">
        <f t="shared" si="21"/>
        <v>0</v>
      </c>
      <c r="AJ58" s="303">
        <f t="shared" si="22"/>
        <v>0</v>
      </c>
      <c r="AK58" s="303"/>
      <c r="AL58" s="303"/>
    </row>
    <row r="59" spans="1:38" ht="15">
      <c r="A59" s="26">
        <f t="shared" si="2"/>
        <v>32</v>
      </c>
      <c r="B59" s="171">
        <v>1</v>
      </c>
      <c r="C59" s="260" t="s">
        <v>72</v>
      </c>
      <c r="D59" s="304">
        <f>'[2]CDCM Volume Forecasts'!D59</f>
        <v>7.7902953356325151E-4</v>
      </c>
      <c r="E59" s="304">
        <f>'[2]CDCM Volume Forecasts'!E59</f>
        <v>2.2097046643674843E-4</v>
      </c>
      <c r="F59" s="305">
        <f>'[2]CDCM Volume Forecasts'!F59</f>
        <v>0</v>
      </c>
      <c r="G59" s="304">
        <f>'[2]CDCM Volume Forecasts'!G59</f>
        <v>8.8911149421647205E-6</v>
      </c>
      <c r="H59" s="305">
        <f>'[2]CDCM Volume Forecasts'!H59</f>
        <v>0</v>
      </c>
      <c r="I59" s="305">
        <f>'[2]CDCM Volume Forecasts'!I59</f>
        <v>0</v>
      </c>
      <c r="J59" s="305">
        <f>'[2]CDCM Volume Forecasts'!J59</f>
        <v>0</v>
      </c>
      <c r="K59" s="304">
        <f t="shared" si="3"/>
        <v>7.7902953356325151E-4</v>
      </c>
      <c r="L59" s="304">
        <f t="shared" si="4"/>
        <v>2.2097046643674843E-4</v>
      </c>
      <c r="M59" s="305">
        <f t="shared" si="5"/>
        <v>0</v>
      </c>
      <c r="N59" s="304">
        <f t="shared" si="6"/>
        <v>8.8911149421647205E-6</v>
      </c>
      <c r="O59" s="305">
        <f t="shared" si="7"/>
        <v>0</v>
      </c>
      <c r="P59" s="305"/>
      <c r="Q59" s="305"/>
      <c r="R59" s="304">
        <f t="shared" si="8"/>
        <v>7.7902953356325151E-4</v>
      </c>
      <c r="S59" s="304">
        <f t="shared" si="9"/>
        <v>2.2097046643674843E-4</v>
      </c>
      <c r="T59" s="305">
        <f t="shared" si="10"/>
        <v>0</v>
      </c>
      <c r="U59" s="304">
        <f t="shared" si="11"/>
        <v>8.8911149421647205E-6</v>
      </c>
      <c r="V59" s="305">
        <f t="shared" si="12"/>
        <v>0</v>
      </c>
      <c r="W59" s="305"/>
      <c r="X59" s="305"/>
      <c r="Y59" s="304">
        <f t="shared" si="13"/>
        <v>7.7902953356325151E-4</v>
      </c>
      <c r="Z59" s="304">
        <f t="shared" si="14"/>
        <v>2.2097046643674843E-4</v>
      </c>
      <c r="AA59" s="305">
        <f t="shared" si="15"/>
        <v>0</v>
      </c>
      <c r="AB59" s="304">
        <f t="shared" si="16"/>
        <v>8.8911149421647205E-6</v>
      </c>
      <c r="AC59" s="305">
        <f t="shared" si="17"/>
        <v>0</v>
      </c>
      <c r="AD59" s="305"/>
      <c r="AE59" s="305"/>
      <c r="AF59" s="304">
        <f t="shared" si="18"/>
        <v>7.7902953356325151E-4</v>
      </c>
      <c r="AG59" s="304">
        <f t="shared" si="19"/>
        <v>2.2097046643674843E-4</v>
      </c>
      <c r="AH59" s="305">
        <f t="shared" si="20"/>
        <v>0</v>
      </c>
      <c r="AI59" s="304">
        <f t="shared" si="21"/>
        <v>8.8911149421647205E-6</v>
      </c>
      <c r="AJ59" s="305">
        <f t="shared" si="22"/>
        <v>0</v>
      </c>
      <c r="AK59" s="305"/>
      <c r="AL59" s="305"/>
    </row>
    <row r="60" spans="1:38" ht="15">
      <c r="A60" s="26">
        <f t="shared" si="2"/>
        <v>33</v>
      </c>
      <c r="B60" s="171"/>
      <c r="C60" s="259" t="s">
        <v>1181</v>
      </c>
      <c r="D60" s="303">
        <f>'[2]CDCM Volume Forecasts'!D60</f>
        <v>0</v>
      </c>
      <c r="E60" s="303">
        <f>'[2]CDCM Volume Forecasts'!E60</f>
        <v>0</v>
      </c>
      <c r="F60" s="303">
        <f>'[2]CDCM Volume Forecasts'!F60</f>
        <v>0</v>
      </c>
      <c r="G60" s="303">
        <f>'[2]CDCM Volume Forecasts'!G60</f>
        <v>0</v>
      </c>
      <c r="H60" s="303">
        <f>'[2]CDCM Volume Forecasts'!H60</f>
        <v>0</v>
      </c>
      <c r="I60" s="303">
        <f>'[2]CDCM Volume Forecasts'!I60</f>
        <v>0</v>
      </c>
      <c r="J60" s="303">
        <f>'[2]CDCM Volume Forecasts'!J60</f>
        <v>0</v>
      </c>
      <c r="K60" s="303">
        <f t="shared" si="3"/>
        <v>0</v>
      </c>
      <c r="L60" s="303">
        <f t="shared" si="4"/>
        <v>0</v>
      </c>
      <c r="M60" s="303">
        <f t="shared" si="5"/>
        <v>0</v>
      </c>
      <c r="N60" s="303">
        <f t="shared" si="6"/>
        <v>0</v>
      </c>
      <c r="O60" s="303">
        <f t="shared" si="7"/>
        <v>0</v>
      </c>
      <c r="P60" s="303"/>
      <c r="Q60" s="303"/>
      <c r="R60" s="303">
        <f t="shared" si="8"/>
        <v>0</v>
      </c>
      <c r="S60" s="303">
        <f t="shared" si="9"/>
        <v>0</v>
      </c>
      <c r="T60" s="303">
        <f t="shared" si="10"/>
        <v>0</v>
      </c>
      <c r="U60" s="303">
        <f t="shared" si="11"/>
        <v>0</v>
      </c>
      <c r="V60" s="303">
        <f t="shared" si="12"/>
        <v>0</v>
      </c>
      <c r="W60" s="303"/>
      <c r="X60" s="303"/>
      <c r="Y60" s="303">
        <f t="shared" si="13"/>
        <v>0</v>
      </c>
      <c r="Z60" s="303">
        <f t="shared" si="14"/>
        <v>0</v>
      </c>
      <c r="AA60" s="303">
        <f t="shared" si="15"/>
        <v>0</v>
      </c>
      <c r="AB60" s="303">
        <f t="shared" si="16"/>
        <v>0</v>
      </c>
      <c r="AC60" s="303">
        <f t="shared" si="17"/>
        <v>0</v>
      </c>
      <c r="AD60" s="303"/>
      <c r="AE60" s="303"/>
      <c r="AF60" s="303">
        <f t="shared" si="18"/>
        <v>0</v>
      </c>
      <c r="AG60" s="303">
        <f t="shared" si="19"/>
        <v>0</v>
      </c>
      <c r="AH60" s="303">
        <f t="shared" si="20"/>
        <v>0</v>
      </c>
      <c r="AI60" s="303">
        <f t="shared" si="21"/>
        <v>0</v>
      </c>
      <c r="AJ60" s="303">
        <f t="shared" si="22"/>
        <v>0</v>
      </c>
      <c r="AK60" s="303"/>
      <c r="AL60" s="303"/>
    </row>
    <row r="61" spans="1:38" ht="15">
      <c r="A61" s="26">
        <f t="shared" si="2"/>
        <v>34</v>
      </c>
      <c r="B61" s="171">
        <v>1</v>
      </c>
      <c r="C61" s="260" t="s">
        <v>1178</v>
      </c>
      <c r="D61" s="304">
        <f>'[2]CDCM Volume Forecasts'!D61</f>
        <v>2.2038402354910721E-2</v>
      </c>
      <c r="E61" s="304">
        <f>'[2]CDCM Volume Forecasts'!E61</f>
        <v>5.6003186010638299E-2</v>
      </c>
      <c r="F61" s="304">
        <f>'[2]CDCM Volume Forecasts'!F61</f>
        <v>5.28921656517857E-2</v>
      </c>
      <c r="G61" s="304">
        <f>'[2]CDCM Volume Forecasts'!G61</f>
        <v>8.4931506849315067E-2</v>
      </c>
      <c r="H61" s="305">
        <f>'[2]CDCM Volume Forecasts'!H61</f>
        <v>0</v>
      </c>
      <c r="I61" s="305">
        <f>'[2]CDCM Volume Forecasts'!I61</f>
        <v>0</v>
      </c>
      <c r="J61" s="305">
        <f>'[2]CDCM Volume Forecasts'!J61</f>
        <v>0</v>
      </c>
      <c r="K61" s="304">
        <f t="shared" si="3"/>
        <v>2.2038402354910721E-2</v>
      </c>
      <c r="L61" s="304">
        <f t="shared" si="4"/>
        <v>5.6003186010638299E-2</v>
      </c>
      <c r="M61" s="304">
        <f t="shared" si="5"/>
        <v>5.28921656517857E-2</v>
      </c>
      <c r="N61" s="304">
        <f t="shared" si="6"/>
        <v>8.4931506849315067E-2</v>
      </c>
      <c r="O61" s="305">
        <f t="shared" si="7"/>
        <v>0</v>
      </c>
      <c r="P61" s="305"/>
      <c r="Q61" s="305"/>
      <c r="R61" s="304">
        <f t="shared" si="8"/>
        <v>2.2038402354910721E-2</v>
      </c>
      <c r="S61" s="304">
        <f t="shared" si="9"/>
        <v>5.6003186010638299E-2</v>
      </c>
      <c r="T61" s="304">
        <f t="shared" si="10"/>
        <v>5.28921656517857E-2</v>
      </c>
      <c r="U61" s="304">
        <f t="shared" si="11"/>
        <v>8.4931506849315067E-2</v>
      </c>
      <c r="V61" s="305">
        <f t="shared" si="12"/>
        <v>0</v>
      </c>
      <c r="W61" s="305"/>
      <c r="X61" s="305"/>
      <c r="Y61" s="304">
        <f t="shared" si="13"/>
        <v>2.2038402354910721E-2</v>
      </c>
      <c r="Z61" s="304">
        <f t="shared" si="14"/>
        <v>5.6003186010638299E-2</v>
      </c>
      <c r="AA61" s="304">
        <f t="shared" si="15"/>
        <v>5.28921656517857E-2</v>
      </c>
      <c r="AB61" s="304">
        <f t="shared" si="16"/>
        <v>8.4931506849315067E-2</v>
      </c>
      <c r="AC61" s="305">
        <f t="shared" si="17"/>
        <v>0</v>
      </c>
      <c r="AD61" s="305"/>
      <c r="AE61" s="305"/>
      <c r="AF61" s="304">
        <f t="shared" si="18"/>
        <v>2.2038402354910721E-2</v>
      </c>
      <c r="AG61" s="304">
        <f t="shared" si="19"/>
        <v>5.6003186010638299E-2</v>
      </c>
      <c r="AH61" s="304">
        <f t="shared" si="20"/>
        <v>5.28921656517857E-2</v>
      </c>
      <c r="AI61" s="304">
        <f t="shared" si="21"/>
        <v>8.4931506849315067E-2</v>
      </c>
      <c r="AJ61" s="305">
        <f t="shared" si="22"/>
        <v>0</v>
      </c>
      <c r="AK61" s="305"/>
      <c r="AL61" s="305"/>
    </row>
    <row r="62" spans="1:38" ht="15">
      <c r="A62" s="26">
        <f t="shared" si="2"/>
        <v>35</v>
      </c>
      <c r="B62" s="171">
        <v>1</v>
      </c>
      <c r="C62" s="260" t="s">
        <v>1175</v>
      </c>
      <c r="D62" s="304">
        <f>'[2]CDCM Volume Forecasts'!D62</f>
        <v>0</v>
      </c>
      <c r="E62" s="304">
        <f>'[2]CDCM Volume Forecasts'!E62</f>
        <v>0</v>
      </c>
      <c r="F62" s="304">
        <f>'[2]CDCM Volume Forecasts'!F62</f>
        <v>0</v>
      </c>
      <c r="G62" s="304">
        <f>'[2]CDCM Volume Forecasts'!G62</f>
        <v>0</v>
      </c>
      <c r="H62" s="305">
        <f>'[2]CDCM Volume Forecasts'!H62</f>
        <v>0</v>
      </c>
      <c r="I62" s="305">
        <f>'[2]CDCM Volume Forecasts'!I62</f>
        <v>0</v>
      </c>
      <c r="J62" s="305">
        <f>'[2]CDCM Volume Forecasts'!J62</f>
        <v>0</v>
      </c>
      <c r="K62" s="304">
        <f t="shared" si="3"/>
        <v>0</v>
      </c>
      <c r="L62" s="304">
        <f t="shared" si="4"/>
        <v>0</v>
      </c>
      <c r="M62" s="304">
        <f t="shared" si="5"/>
        <v>0</v>
      </c>
      <c r="N62" s="304">
        <f t="shared" si="6"/>
        <v>0</v>
      </c>
      <c r="O62" s="305">
        <f t="shared" si="7"/>
        <v>0</v>
      </c>
      <c r="P62" s="305"/>
      <c r="Q62" s="305"/>
      <c r="R62" s="304">
        <f t="shared" si="8"/>
        <v>0</v>
      </c>
      <c r="S62" s="304">
        <f t="shared" si="9"/>
        <v>0</v>
      </c>
      <c r="T62" s="304">
        <f t="shared" si="10"/>
        <v>0</v>
      </c>
      <c r="U62" s="304">
        <f t="shared" si="11"/>
        <v>0</v>
      </c>
      <c r="V62" s="305">
        <f t="shared" si="12"/>
        <v>0</v>
      </c>
      <c r="W62" s="305"/>
      <c r="X62" s="305"/>
      <c r="Y62" s="304">
        <f t="shared" si="13"/>
        <v>0</v>
      </c>
      <c r="Z62" s="304">
        <f t="shared" si="14"/>
        <v>0</v>
      </c>
      <c r="AA62" s="304">
        <f t="shared" si="15"/>
        <v>0</v>
      </c>
      <c r="AB62" s="304">
        <f t="shared" si="16"/>
        <v>0</v>
      </c>
      <c r="AC62" s="305">
        <f t="shared" si="17"/>
        <v>0</v>
      </c>
      <c r="AD62" s="305"/>
      <c r="AE62" s="305"/>
      <c r="AF62" s="304">
        <f t="shared" si="18"/>
        <v>0</v>
      </c>
      <c r="AG62" s="304">
        <f t="shared" si="19"/>
        <v>0</v>
      </c>
      <c r="AH62" s="304">
        <f t="shared" si="20"/>
        <v>0</v>
      </c>
      <c r="AI62" s="304">
        <f t="shared" si="21"/>
        <v>0</v>
      </c>
      <c r="AJ62" s="305">
        <f t="shared" si="22"/>
        <v>0</v>
      </c>
      <c r="AK62" s="305"/>
      <c r="AL62" s="305"/>
    </row>
    <row r="63" spans="1:38" ht="15">
      <c r="A63" s="26">
        <f t="shared" si="2"/>
        <v>36</v>
      </c>
      <c r="B63" s="171">
        <v>1</v>
      </c>
      <c r="C63" s="260" t="s">
        <v>1172</v>
      </c>
      <c r="D63" s="304">
        <f>'[2]CDCM Volume Forecasts'!D63</f>
        <v>0</v>
      </c>
      <c r="E63" s="304">
        <f>'[2]CDCM Volume Forecasts'!E63</f>
        <v>0</v>
      </c>
      <c r="F63" s="304">
        <f>'[2]CDCM Volume Forecasts'!F63</f>
        <v>0</v>
      </c>
      <c r="G63" s="304">
        <f>'[2]CDCM Volume Forecasts'!G63</f>
        <v>0</v>
      </c>
      <c r="H63" s="305">
        <f>'[2]CDCM Volume Forecasts'!H63</f>
        <v>0</v>
      </c>
      <c r="I63" s="305">
        <f>'[2]CDCM Volume Forecasts'!I63</f>
        <v>0</v>
      </c>
      <c r="J63" s="305">
        <f>'[2]CDCM Volume Forecasts'!J63</f>
        <v>0</v>
      </c>
      <c r="K63" s="304">
        <f t="shared" si="3"/>
        <v>0</v>
      </c>
      <c r="L63" s="304">
        <f t="shared" si="4"/>
        <v>0</v>
      </c>
      <c r="M63" s="304">
        <f t="shared" si="5"/>
        <v>0</v>
      </c>
      <c r="N63" s="304">
        <f t="shared" si="6"/>
        <v>0</v>
      </c>
      <c r="O63" s="305">
        <f t="shared" si="7"/>
        <v>0</v>
      </c>
      <c r="P63" s="305"/>
      <c r="Q63" s="305"/>
      <c r="R63" s="304">
        <f t="shared" si="8"/>
        <v>0</v>
      </c>
      <c r="S63" s="304">
        <f t="shared" si="9"/>
        <v>0</v>
      </c>
      <c r="T63" s="304">
        <f t="shared" si="10"/>
        <v>0</v>
      </c>
      <c r="U63" s="304">
        <f t="shared" si="11"/>
        <v>0</v>
      </c>
      <c r="V63" s="305">
        <f t="shared" si="12"/>
        <v>0</v>
      </c>
      <c r="W63" s="305"/>
      <c r="X63" s="305"/>
      <c r="Y63" s="304">
        <f t="shared" si="13"/>
        <v>0</v>
      </c>
      <c r="Z63" s="304">
        <f t="shared" si="14"/>
        <v>0</v>
      </c>
      <c r="AA63" s="304">
        <f t="shared" si="15"/>
        <v>0</v>
      </c>
      <c r="AB63" s="304">
        <f t="shared" si="16"/>
        <v>0</v>
      </c>
      <c r="AC63" s="305">
        <f t="shared" si="17"/>
        <v>0</v>
      </c>
      <c r="AD63" s="305"/>
      <c r="AE63" s="305"/>
      <c r="AF63" s="304">
        <f t="shared" si="18"/>
        <v>0</v>
      </c>
      <c r="AG63" s="304">
        <f t="shared" si="19"/>
        <v>0</v>
      </c>
      <c r="AH63" s="304">
        <f t="shared" si="20"/>
        <v>0</v>
      </c>
      <c r="AI63" s="304">
        <f t="shared" si="21"/>
        <v>0</v>
      </c>
      <c r="AJ63" s="305">
        <f t="shared" si="22"/>
        <v>0</v>
      </c>
      <c r="AK63" s="305"/>
      <c r="AL63" s="305"/>
    </row>
    <row r="64" spans="1:38" ht="15">
      <c r="A64" s="26">
        <f t="shared" si="2"/>
        <v>37</v>
      </c>
      <c r="B64" s="171"/>
      <c r="C64" s="259" t="s">
        <v>1180</v>
      </c>
      <c r="D64" s="303">
        <f>'[2]CDCM Volume Forecasts'!D64</f>
        <v>0</v>
      </c>
      <c r="E64" s="303">
        <f>'[2]CDCM Volume Forecasts'!E64</f>
        <v>0</v>
      </c>
      <c r="F64" s="303">
        <f>'[2]CDCM Volume Forecasts'!F64</f>
        <v>0</v>
      </c>
      <c r="G64" s="303">
        <f>'[2]CDCM Volume Forecasts'!G64</f>
        <v>0</v>
      </c>
      <c r="H64" s="303">
        <f>'[2]CDCM Volume Forecasts'!H64</f>
        <v>0</v>
      </c>
      <c r="I64" s="303">
        <f>'[2]CDCM Volume Forecasts'!I64</f>
        <v>0</v>
      </c>
      <c r="J64" s="303">
        <f>'[2]CDCM Volume Forecasts'!J64</f>
        <v>0</v>
      </c>
      <c r="K64" s="303">
        <f t="shared" si="3"/>
        <v>0</v>
      </c>
      <c r="L64" s="303">
        <f t="shared" si="4"/>
        <v>0</v>
      </c>
      <c r="M64" s="303">
        <f t="shared" si="5"/>
        <v>0</v>
      </c>
      <c r="N64" s="303">
        <f t="shared" si="6"/>
        <v>0</v>
      </c>
      <c r="O64" s="303">
        <f t="shared" si="7"/>
        <v>0</v>
      </c>
      <c r="P64" s="303"/>
      <c r="Q64" s="303"/>
      <c r="R64" s="303">
        <f t="shared" si="8"/>
        <v>0</v>
      </c>
      <c r="S64" s="303">
        <f t="shared" si="9"/>
        <v>0</v>
      </c>
      <c r="T64" s="303">
        <f t="shared" si="10"/>
        <v>0</v>
      </c>
      <c r="U64" s="303">
        <f t="shared" si="11"/>
        <v>0</v>
      </c>
      <c r="V64" s="303">
        <f t="shared" si="12"/>
        <v>0</v>
      </c>
      <c r="W64" s="303"/>
      <c r="X64" s="303"/>
      <c r="Y64" s="303">
        <f t="shared" si="13"/>
        <v>0</v>
      </c>
      <c r="Z64" s="303">
        <f t="shared" si="14"/>
        <v>0</v>
      </c>
      <c r="AA64" s="303">
        <f t="shared" si="15"/>
        <v>0</v>
      </c>
      <c r="AB64" s="303">
        <f t="shared" si="16"/>
        <v>0</v>
      </c>
      <c r="AC64" s="303">
        <f t="shared" si="17"/>
        <v>0</v>
      </c>
      <c r="AD64" s="303"/>
      <c r="AE64" s="303"/>
      <c r="AF64" s="303">
        <f t="shared" si="18"/>
        <v>0</v>
      </c>
      <c r="AG64" s="303">
        <f t="shared" si="19"/>
        <v>0</v>
      </c>
      <c r="AH64" s="303">
        <f t="shared" si="20"/>
        <v>0</v>
      </c>
      <c r="AI64" s="303">
        <f t="shared" si="21"/>
        <v>0</v>
      </c>
      <c r="AJ64" s="303">
        <f t="shared" si="22"/>
        <v>0</v>
      </c>
      <c r="AK64" s="303"/>
      <c r="AL64" s="303"/>
    </row>
    <row r="65" spans="1:38" ht="15">
      <c r="A65" s="26">
        <f t="shared" si="2"/>
        <v>38</v>
      </c>
      <c r="B65" s="171">
        <v>1</v>
      </c>
      <c r="C65" s="260" t="s">
        <v>1177</v>
      </c>
      <c r="D65" s="304">
        <f>'[2]CDCM Volume Forecasts'!D65</f>
        <v>26809.776329036184</v>
      </c>
      <c r="E65" s="304">
        <f>'[2]CDCM Volume Forecasts'!E65</f>
        <v>198363.7566935535</v>
      </c>
      <c r="F65" s="304">
        <f>'[2]CDCM Volume Forecasts'!F65</f>
        <v>187790.92736802268</v>
      </c>
      <c r="G65" s="304">
        <f>'[2]CDCM Volume Forecasts'!G65</f>
        <v>6133.3604116966899</v>
      </c>
      <c r="H65" s="305">
        <f>'[2]CDCM Volume Forecasts'!H65</f>
        <v>0</v>
      </c>
      <c r="I65" s="305">
        <f>'[2]CDCM Volume Forecasts'!I65</f>
        <v>0</v>
      </c>
      <c r="J65" s="305">
        <f>'[2]CDCM Volume Forecasts'!J65</f>
        <v>0</v>
      </c>
      <c r="K65" s="304">
        <f t="shared" si="3"/>
        <v>26809.776329036184</v>
      </c>
      <c r="L65" s="304">
        <f t="shared" si="4"/>
        <v>198363.7566935535</v>
      </c>
      <c r="M65" s="304">
        <f t="shared" si="5"/>
        <v>187790.92736802268</v>
      </c>
      <c r="N65" s="304">
        <f t="shared" si="6"/>
        <v>6133.3604116966899</v>
      </c>
      <c r="O65" s="305">
        <f t="shared" si="7"/>
        <v>0</v>
      </c>
      <c r="P65" s="305"/>
      <c r="Q65" s="305"/>
      <c r="R65" s="304">
        <f t="shared" si="8"/>
        <v>26809.776329036184</v>
      </c>
      <c r="S65" s="304">
        <f t="shared" si="9"/>
        <v>198363.7566935535</v>
      </c>
      <c r="T65" s="304">
        <f t="shared" si="10"/>
        <v>187790.92736802268</v>
      </c>
      <c r="U65" s="304">
        <f t="shared" si="11"/>
        <v>6133.3604116966899</v>
      </c>
      <c r="V65" s="305">
        <f t="shared" si="12"/>
        <v>0</v>
      </c>
      <c r="W65" s="305"/>
      <c r="X65" s="305"/>
      <c r="Y65" s="304">
        <f t="shared" si="13"/>
        <v>26809.776329036184</v>
      </c>
      <c r="Z65" s="304">
        <f t="shared" si="14"/>
        <v>198363.7566935535</v>
      </c>
      <c r="AA65" s="304">
        <f t="shared" si="15"/>
        <v>187790.92736802268</v>
      </c>
      <c r="AB65" s="304">
        <f t="shared" si="16"/>
        <v>6133.3604116966899</v>
      </c>
      <c r="AC65" s="305">
        <f t="shared" si="17"/>
        <v>0</v>
      </c>
      <c r="AD65" s="305"/>
      <c r="AE65" s="305"/>
      <c r="AF65" s="304">
        <f t="shared" si="18"/>
        <v>26809.776329036184</v>
      </c>
      <c r="AG65" s="304">
        <f t="shared" si="19"/>
        <v>198363.7566935535</v>
      </c>
      <c r="AH65" s="304">
        <f t="shared" si="20"/>
        <v>187790.92736802268</v>
      </c>
      <c r="AI65" s="304">
        <f t="shared" si="21"/>
        <v>6133.3604116966899</v>
      </c>
      <c r="AJ65" s="305">
        <f t="shared" si="22"/>
        <v>0</v>
      </c>
      <c r="AK65" s="305"/>
      <c r="AL65" s="305"/>
    </row>
    <row r="66" spans="1:38" ht="15">
      <c r="A66" s="26">
        <f t="shared" si="2"/>
        <v>39</v>
      </c>
      <c r="B66" s="171">
        <v>1</v>
      </c>
      <c r="C66" s="260" t="s">
        <v>1174</v>
      </c>
      <c r="D66" s="304">
        <f>'[2]CDCM Volume Forecasts'!D66</f>
        <v>3.3157410088189661</v>
      </c>
      <c r="E66" s="304">
        <f>'[2]CDCM Volume Forecasts'!E66</f>
        <v>24.610477729189657</v>
      </c>
      <c r="F66" s="304">
        <f>'[2]CDCM Volume Forecasts'!F66</f>
        <v>26.227817446189661</v>
      </c>
      <c r="G66" s="304">
        <f>'[2]CDCM Volume Forecasts'!G66</f>
        <v>1.1300991921225449</v>
      </c>
      <c r="H66" s="305">
        <f>'[2]CDCM Volume Forecasts'!H66</f>
        <v>0</v>
      </c>
      <c r="I66" s="305">
        <f>'[2]CDCM Volume Forecasts'!I66</f>
        <v>0</v>
      </c>
      <c r="J66" s="305">
        <f>'[2]CDCM Volume Forecasts'!J66</f>
        <v>0</v>
      </c>
      <c r="K66" s="304">
        <f t="shared" si="3"/>
        <v>3.3157410088189661</v>
      </c>
      <c r="L66" s="304">
        <f t="shared" si="4"/>
        <v>24.610477729189657</v>
      </c>
      <c r="M66" s="304">
        <f t="shared" si="5"/>
        <v>26.227817446189661</v>
      </c>
      <c r="N66" s="304">
        <f t="shared" si="6"/>
        <v>1.1300991921225449</v>
      </c>
      <c r="O66" s="305">
        <f t="shared" si="7"/>
        <v>0</v>
      </c>
      <c r="P66" s="305"/>
      <c r="Q66" s="305"/>
      <c r="R66" s="304">
        <f t="shared" si="8"/>
        <v>3.3157410088189661</v>
      </c>
      <c r="S66" s="304">
        <f t="shared" si="9"/>
        <v>24.610477729189657</v>
      </c>
      <c r="T66" s="304">
        <f t="shared" si="10"/>
        <v>26.227817446189661</v>
      </c>
      <c r="U66" s="304">
        <f t="shared" si="11"/>
        <v>1.1300991921225449</v>
      </c>
      <c r="V66" s="305">
        <f t="shared" si="12"/>
        <v>0</v>
      </c>
      <c r="W66" s="305"/>
      <c r="X66" s="305"/>
      <c r="Y66" s="304">
        <f t="shared" si="13"/>
        <v>3.3157410088189661</v>
      </c>
      <c r="Z66" s="304">
        <f t="shared" si="14"/>
        <v>24.610477729189657</v>
      </c>
      <c r="AA66" s="304">
        <f t="shared" si="15"/>
        <v>26.227817446189661</v>
      </c>
      <c r="AB66" s="304">
        <f t="shared" si="16"/>
        <v>1.1300991921225449</v>
      </c>
      <c r="AC66" s="305">
        <f t="shared" si="17"/>
        <v>0</v>
      </c>
      <c r="AD66" s="305"/>
      <c r="AE66" s="305"/>
      <c r="AF66" s="304">
        <f t="shared" si="18"/>
        <v>3.3157410088189661</v>
      </c>
      <c r="AG66" s="304">
        <f t="shared" si="19"/>
        <v>24.610477729189657</v>
      </c>
      <c r="AH66" s="304">
        <f t="shared" si="20"/>
        <v>26.227817446189661</v>
      </c>
      <c r="AI66" s="304">
        <f t="shared" si="21"/>
        <v>1.1300991921225449</v>
      </c>
      <c r="AJ66" s="305">
        <f t="shared" si="22"/>
        <v>0</v>
      </c>
      <c r="AK66" s="305"/>
      <c r="AL66" s="305"/>
    </row>
    <row r="67" spans="1:38" ht="15">
      <c r="A67" s="26">
        <f t="shared" si="2"/>
        <v>40</v>
      </c>
      <c r="B67" s="171">
        <v>1</v>
      </c>
      <c r="C67" s="260" t="s">
        <v>1171</v>
      </c>
      <c r="D67" s="304">
        <f>'[2]CDCM Volume Forecasts'!D67</f>
        <v>208.85522710830037</v>
      </c>
      <c r="E67" s="304">
        <f>'[2]CDCM Volume Forecasts'!E67</f>
        <v>1439.9688025914054</v>
      </c>
      <c r="F67" s="304">
        <f>'[2]CDCM Volume Forecasts'!F67</f>
        <v>1182.4128410746812</v>
      </c>
      <c r="G67" s="304">
        <f>'[2]CDCM Volume Forecasts'!G67</f>
        <v>39.906605458800122</v>
      </c>
      <c r="H67" s="305">
        <f>'[2]CDCM Volume Forecasts'!H67</f>
        <v>0</v>
      </c>
      <c r="I67" s="305">
        <f>'[2]CDCM Volume Forecasts'!I67</f>
        <v>0</v>
      </c>
      <c r="J67" s="305">
        <f>'[2]CDCM Volume Forecasts'!J67</f>
        <v>0</v>
      </c>
      <c r="K67" s="304">
        <f t="shared" si="3"/>
        <v>208.85522710830037</v>
      </c>
      <c r="L67" s="304">
        <f t="shared" si="4"/>
        <v>1439.9688025914054</v>
      </c>
      <c r="M67" s="304">
        <f t="shared" si="5"/>
        <v>1182.4128410746812</v>
      </c>
      <c r="N67" s="304">
        <f t="shared" si="6"/>
        <v>39.906605458800122</v>
      </c>
      <c r="O67" s="305">
        <f t="shared" si="7"/>
        <v>0</v>
      </c>
      <c r="P67" s="305"/>
      <c r="Q67" s="305"/>
      <c r="R67" s="304">
        <f t="shared" si="8"/>
        <v>208.85522710830037</v>
      </c>
      <c r="S67" s="304">
        <f t="shared" si="9"/>
        <v>1439.9688025914054</v>
      </c>
      <c r="T67" s="304">
        <f t="shared" si="10"/>
        <v>1182.4128410746812</v>
      </c>
      <c r="U67" s="304">
        <f t="shared" si="11"/>
        <v>39.906605458800122</v>
      </c>
      <c r="V67" s="305">
        <f t="shared" si="12"/>
        <v>0</v>
      </c>
      <c r="W67" s="305"/>
      <c r="X67" s="305"/>
      <c r="Y67" s="304">
        <f t="shared" si="13"/>
        <v>208.85522710830037</v>
      </c>
      <c r="Z67" s="304">
        <f t="shared" si="14"/>
        <v>1439.9688025914054</v>
      </c>
      <c r="AA67" s="304">
        <f t="shared" si="15"/>
        <v>1182.4128410746812</v>
      </c>
      <c r="AB67" s="304">
        <f t="shared" si="16"/>
        <v>39.906605458800122</v>
      </c>
      <c r="AC67" s="305">
        <f t="shared" si="17"/>
        <v>0</v>
      </c>
      <c r="AD67" s="305"/>
      <c r="AE67" s="305"/>
      <c r="AF67" s="304">
        <f t="shared" si="18"/>
        <v>208.85522710830037</v>
      </c>
      <c r="AG67" s="304">
        <f t="shared" si="19"/>
        <v>1439.9688025914054</v>
      </c>
      <c r="AH67" s="304">
        <f t="shared" si="20"/>
        <v>1182.4128410746812</v>
      </c>
      <c r="AI67" s="304">
        <f t="shared" si="21"/>
        <v>39.906605458800122</v>
      </c>
      <c r="AJ67" s="305">
        <f t="shared" si="22"/>
        <v>0</v>
      </c>
      <c r="AK67" s="305"/>
      <c r="AL67" s="305"/>
    </row>
    <row r="68" spans="1:38" ht="15">
      <c r="A68" s="26">
        <f t="shared" si="2"/>
        <v>41</v>
      </c>
      <c r="B68" s="171"/>
      <c r="C68" s="259" t="s">
        <v>131</v>
      </c>
      <c r="D68" s="303">
        <f>'[2]CDCM Volume Forecasts'!D68</f>
        <v>0</v>
      </c>
      <c r="E68" s="303">
        <f>'[2]CDCM Volume Forecasts'!E68</f>
        <v>0</v>
      </c>
      <c r="F68" s="303">
        <f>'[2]CDCM Volume Forecasts'!F68</f>
        <v>0</v>
      </c>
      <c r="G68" s="303">
        <f>'[2]CDCM Volume Forecasts'!G68</f>
        <v>0</v>
      </c>
      <c r="H68" s="303">
        <f>'[2]CDCM Volume Forecasts'!H68</f>
        <v>0</v>
      </c>
      <c r="I68" s="303">
        <f>'[2]CDCM Volume Forecasts'!I68</f>
        <v>0</v>
      </c>
      <c r="J68" s="303">
        <f>'[2]CDCM Volume Forecasts'!J68</f>
        <v>0</v>
      </c>
      <c r="K68" s="303">
        <f t="shared" si="3"/>
        <v>0</v>
      </c>
      <c r="L68" s="303">
        <f t="shared" si="4"/>
        <v>0</v>
      </c>
      <c r="M68" s="303">
        <f t="shared" si="5"/>
        <v>0</v>
      </c>
      <c r="N68" s="303">
        <f t="shared" si="6"/>
        <v>0</v>
      </c>
      <c r="O68" s="303">
        <f t="shared" si="7"/>
        <v>0</v>
      </c>
      <c r="P68" s="303"/>
      <c r="Q68" s="303"/>
      <c r="R68" s="303">
        <f t="shared" si="8"/>
        <v>0</v>
      </c>
      <c r="S68" s="303">
        <f t="shared" si="9"/>
        <v>0</v>
      </c>
      <c r="T68" s="303">
        <f t="shared" si="10"/>
        <v>0</v>
      </c>
      <c r="U68" s="303">
        <f t="shared" si="11"/>
        <v>0</v>
      </c>
      <c r="V68" s="303">
        <f t="shared" si="12"/>
        <v>0</v>
      </c>
      <c r="W68" s="303"/>
      <c r="X68" s="303"/>
      <c r="Y68" s="303">
        <f t="shared" si="13"/>
        <v>0</v>
      </c>
      <c r="Z68" s="303">
        <f t="shared" si="14"/>
        <v>0</v>
      </c>
      <c r="AA68" s="303">
        <f t="shared" si="15"/>
        <v>0</v>
      </c>
      <c r="AB68" s="303">
        <f t="shared" si="16"/>
        <v>0</v>
      </c>
      <c r="AC68" s="303">
        <f t="shared" si="17"/>
        <v>0</v>
      </c>
      <c r="AD68" s="303"/>
      <c r="AE68" s="303"/>
      <c r="AF68" s="303">
        <f t="shared" si="18"/>
        <v>0</v>
      </c>
      <c r="AG68" s="303">
        <f t="shared" si="19"/>
        <v>0</v>
      </c>
      <c r="AH68" s="303">
        <f t="shared" si="20"/>
        <v>0</v>
      </c>
      <c r="AI68" s="303">
        <f t="shared" si="21"/>
        <v>0</v>
      </c>
      <c r="AJ68" s="303">
        <f t="shared" si="22"/>
        <v>0</v>
      </c>
      <c r="AK68" s="303"/>
      <c r="AL68" s="303"/>
    </row>
    <row r="69" spans="1:38" ht="15">
      <c r="A69" s="26">
        <f t="shared" si="2"/>
        <v>42</v>
      </c>
      <c r="B69" s="171">
        <v>2</v>
      </c>
      <c r="C69" s="260" t="s">
        <v>60</v>
      </c>
      <c r="D69" s="304">
        <f>'[2]CDCM Volume Forecasts'!D69</f>
        <v>86224.938174458686</v>
      </c>
      <c r="E69" s="304">
        <f>'[2]CDCM Volume Forecasts'!E69</f>
        <v>626406.11625046073</v>
      </c>
      <c r="F69" s="304">
        <f>'[2]CDCM Volume Forecasts'!F69</f>
        <v>551384.49934371735</v>
      </c>
      <c r="G69" s="304">
        <f>'[2]CDCM Volume Forecasts'!G69</f>
        <v>6675.4921517207349</v>
      </c>
      <c r="H69" s="304">
        <f>'[2]CDCM Volume Forecasts'!H69</f>
        <v>679119.46093167306</v>
      </c>
      <c r="I69" s="304">
        <f>'[2]CDCM Volume Forecasts'!I69</f>
        <v>12059.509748296468</v>
      </c>
      <c r="J69" s="304">
        <f>'[2]CDCM Volume Forecasts'!J69</f>
        <v>78582.108886907372</v>
      </c>
      <c r="K69" s="304">
        <f t="shared" si="3"/>
        <v>86224.938174458686</v>
      </c>
      <c r="L69" s="304">
        <f t="shared" si="4"/>
        <v>626406.11625046073</v>
      </c>
      <c r="M69" s="304">
        <f t="shared" si="5"/>
        <v>551384.49934371735</v>
      </c>
      <c r="N69" s="304">
        <f t="shared" si="6"/>
        <v>6675.4921517207349</v>
      </c>
      <c r="O69" s="304">
        <f t="shared" si="7"/>
        <v>679119.46093167306</v>
      </c>
      <c r="P69" s="304">
        <f>IF(I69,((VLOOKUP($B69,$E$7:$AI$16,24)+1)*I69),)</f>
        <v>12059.509748296468</v>
      </c>
      <c r="Q69" s="304">
        <f>IF(J69,((VLOOKUP($B69,$E$7:$AI$16,28)+1)*J69),)</f>
        <v>78582.108886907372</v>
      </c>
      <c r="R69" s="304">
        <f t="shared" si="8"/>
        <v>86224.938174458686</v>
      </c>
      <c r="S69" s="304">
        <f t="shared" si="9"/>
        <v>626406.11625046073</v>
      </c>
      <c r="T69" s="304">
        <f t="shared" si="10"/>
        <v>551384.49934371735</v>
      </c>
      <c r="U69" s="304">
        <f t="shared" si="11"/>
        <v>6675.4921517207349</v>
      </c>
      <c r="V69" s="304">
        <f t="shared" si="12"/>
        <v>679119.46093167306</v>
      </c>
      <c r="W69" s="304">
        <f>IF(I69,((VLOOKUP($B69,$E$7:$AI$16,5+20)+1)*P69),)</f>
        <v>12059.509748296468</v>
      </c>
      <c r="X69" s="304">
        <f>IF(J69,((VLOOKUP($B69,$E$7:$AI$16,5+24)+1)*Q69),)</f>
        <v>78582.108886907372</v>
      </c>
      <c r="Y69" s="304">
        <f t="shared" si="13"/>
        <v>86224.938174458686</v>
      </c>
      <c r="Z69" s="304">
        <f t="shared" si="14"/>
        <v>626406.11625046073</v>
      </c>
      <c r="AA69" s="304">
        <f t="shared" si="15"/>
        <v>551384.49934371735</v>
      </c>
      <c r="AB69" s="304">
        <f t="shared" si="16"/>
        <v>6675.4921517207349</v>
      </c>
      <c r="AC69" s="304">
        <f t="shared" si="17"/>
        <v>679119.46093167306</v>
      </c>
      <c r="AD69" s="304">
        <f>IF(I69,((VLOOKUP($B69,$E$7:$AI$16,6+20)+1)*W69),)</f>
        <v>12059.509748296468</v>
      </c>
      <c r="AE69" s="304">
        <f>IF(J69,((VLOOKUP($B69,$E$7:$AI$16,6+24)+1)*X69),)</f>
        <v>78582.108886907372</v>
      </c>
      <c r="AF69" s="304">
        <f t="shared" si="18"/>
        <v>86224.938174458686</v>
      </c>
      <c r="AG69" s="304">
        <f t="shared" si="19"/>
        <v>626406.11625046073</v>
      </c>
      <c r="AH69" s="304">
        <f t="shared" si="20"/>
        <v>551384.49934371735</v>
      </c>
      <c r="AI69" s="304">
        <f t="shared" si="21"/>
        <v>6675.4921517207349</v>
      </c>
      <c r="AJ69" s="304">
        <f t="shared" si="22"/>
        <v>679119.46093167306</v>
      </c>
      <c r="AK69" s="304">
        <f>IF(I69,((VLOOKUP($B69,$E$7:$AI$16,7+20)+1)*AD69),)</f>
        <v>12059.509748296468</v>
      </c>
      <c r="AL69" s="304">
        <f>IF(J69,((VLOOKUP($B69,$E$7:$AI$16,7+24)+1)*AE69),)</f>
        <v>78582.108886907372</v>
      </c>
    </row>
    <row r="70" spans="1:38" ht="15">
      <c r="A70" s="26">
        <f t="shared" si="2"/>
        <v>43</v>
      </c>
      <c r="B70" s="171">
        <v>2</v>
      </c>
      <c r="C70" s="260" t="s">
        <v>132</v>
      </c>
      <c r="D70" s="304">
        <f>'[2]CDCM Volume Forecasts'!D70</f>
        <v>26.670196333111619</v>
      </c>
      <c r="E70" s="304">
        <f>'[2]CDCM Volume Forecasts'!E70</f>
        <v>184.90987519400832</v>
      </c>
      <c r="F70" s="304">
        <f>'[2]CDCM Volume Forecasts'!F70</f>
        <v>189.04909032529565</v>
      </c>
      <c r="G70" s="304">
        <f>'[2]CDCM Volume Forecasts'!G70</f>
        <v>3.6487097119870446</v>
      </c>
      <c r="H70" s="304">
        <f>'[2]CDCM Volume Forecasts'!H70</f>
        <v>385.20564657534248</v>
      </c>
      <c r="I70" s="304">
        <f>'[2]CDCM Volume Forecasts'!I70</f>
        <v>0</v>
      </c>
      <c r="J70" s="304">
        <f>'[2]CDCM Volume Forecasts'!J70</f>
        <v>38.893499255172415</v>
      </c>
      <c r="K70" s="304">
        <f t="shared" si="3"/>
        <v>26.670196333111619</v>
      </c>
      <c r="L70" s="304">
        <f t="shared" si="4"/>
        <v>184.90987519400832</v>
      </c>
      <c r="M70" s="304">
        <f t="shared" si="5"/>
        <v>189.04909032529565</v>
      </c>
      <c r="N70" s="304">
        <f t="shared" si="6"/>
        <v>3.6487097119870446</v>
      </c>
      <c r="O70" s="304">
        <f t="shared" si="7"/>
        <v>385.20564657534248</v>
      </c>
      <c r="P70" s="304">
        <f t="shared" ref="P70:P71" si="23">IF(I70,((VLOOKUP($B70,$E$7:$AI$16,24)+1)*I70),)</f>
        <v>0</v>
      </c>
      <c r="Q70" s="304">
        <f t="shared" ref="Q70:Q71" si="24">IF(J70,((VLOOKUP($B70,$E$7:$AI$16,28)+1)*J70),)</f>
        <v>38.893499255172415</v>
      </c>
      <c r="R70" s="304">
        <f t="shared" si="8"/>
        <v>26.670196333111619</v>
      </c>
      <c r="S70" s="304">
        <f t="shared" si="9"/>
        <v>184.90987519400832</v>
      </c>
      <c r="T70" s="304">
        <f t="shared" si="10"/>
        <v>189.04909032529565</v>
      </c>
      <c r="U70" s="304">
        <f t="shared" si="11"/>
        <v>3.6487097119870446</v>
      </c>
      <c r="V70" s="304">
        <f t="shared" si="12"/>
        <v>385.20564657534248</v>
      </c>
      <c r="W70" s="304">
        <f t="shared" ref="W70:W71" si="25">IF(I70,((VLOOKUP($B70,$E$7:$AI$16,5+20)+1)*P70),)</f>
        <v>0</v>
      </c>
      <c r="X70" s="304">
        <f t="shared" ref="X70:X71" si="26">IF(J70,((VLOOKUP($B70,$E$7:$AI$16,5+24)+1)*Q70),)</f>
        <v>38.893499255172415</v>
      </c>
      <c r="Y70" s="304">
        <f t="shared" si="13"/>
        <v>26.670196333111619</v>
      </c>
      <c r="Z70" s="304">
        <f t="shared" si="14"/>
        <v>184.90987519400832</v>
      </c>
      <c r="AA70" s="304">
        <f t="shared" si="15"/>
        <v>189.04909032529565</v>
      </c>
      <c r="AB70" s="304">
        <f t="shared" si="16"/>
        <v>3.6487097119870446</v>
      </c>
      <c r="AC70" s="304">
        <f t="shared" si="17"/>
        <v>385.20564657534248</v>
      </c>
      <c r="AD70" s="304">
        <f t="shared" ref="AD70:AD71" si="27">IF(I70,((VLOOKUP($B70,$E$7:$AI$16,6+20)+1)*W70),)</f>
        <v>0</v>
      </c>
      <c r="AE70" s="304">
        <f t="shared" ref="AE70:AE71" si="28">IF(J70,((VLOOKUP($B70,$E$7:$AI$16,6+24)+1)*X70),)</f>
        <v>38.893499255172415</v>
      </c>
      <c r="AF70" s="304">
        <f t="shared" si="18"/>
        <v>26.670196333111619</v>
      </c>
      <c r="AG70" s="304">
        <f t="shared" si="19"/>
        <v>184.90987519400832</v>
      </c>
      <c r="AH70" s="304">
        <f t="shared" si="20"/>
        <v>189.04909032529565</v>
      </c>
      <c r="AI70" s="304">
        <f t="shared" si="21"/>
        <v>3.6487097119870446</v>
      </c>
      <c r="AJ70" s="304">
        <f t="shared" si="22"/>
        <v>385.20564657534248</v>
      </c>
      <c r="AK70" s="304">
        <f t="shared" ref="AK70:AK71" si="29">IF(I70,((VLOOKUP($B70,$E$7:$AI$16,7+20)+1)*AD70),)</f>
        <v>0</v>
      </c>
      <c r="AL70" s="304">
        <f t="shared" ref="AL70:AL71" si="30">IF(J70,((VLOOKUP($B70,$E$7:$AI$16,7+24)+1)*AE70),)</f>
        <v>38.893499255172415</v>
      </c>
    </row>
    <row r="71" spans="1:38" ht="15">
      <c r="A71" s="26">
        <f t="shared" si="2"/>
        <v>44</v>
      </c>
      <c r="B71" s="171">
        <v>2</v>
      </c>
      <c r="C71" s="260" t="s">
        <v>133</v>
      </c>
      <c r="D71" s="304">
        <f>'[2]CDCM Volume Forecasts'!D71</f>
        <v>3033.5166612945895</v>
      </c>
      <c r="E71" s="304">
        <f>'[2]CDCM Volume Forecasts'!E71</f>
        <v>19778.444486303983</v>
      </c>
      <c r="F71" s="304">
        <f>'[2]CDCM Volume Forecasts'!F71</f>
        <v>17104.938488611111</v>
      </c>
      <c r="G71" s="304">
        <f>'[2]CDCM Volume Forecasts'!G71</f>
        <v>102.52944728092592</v>
      </c>
      <c r="H71" s="304">
        <f>'[2]CDCM Volume Forecasts'!H71</f>
        <v>21251.928945205484</v>
      </c>
      <c r="I71" s="304">
        <f>'[2]CDCM Volume Forecasts'!I71</f>
        <v>85.518659589041107</v>
      </c>
      <c r="J71" s="304">
        <f>'[2]CDCM Volume Forecasts'!J71</f>
        <v>1726.2375684206897</v>
      </c>
      <c r="K71" s="304">
        <f t="shared" si="3"/>
        <v>3033.5166612945895</v>
      </c>
      <c r="L71" s="304">
        <f t="shared" si="4"/>
        <v>19778.444486303983</v>
      </c>
      <c r="M71" s="304">
        <f t="shared" si="5"/>
        <v>17104.938488611111</v>
      </c>
      <c r="N71" s="304">
        <f t="shared" si="6"/>
        <v>102.52944728092592</v>
      </c>
      <c r="O71" s="304">
        <f t="shared" si="7"/>
        <v>21251.928945205484</v>
      </c>
      <c r="P71" s="304">
        <f t="shared" si="23"/>
        <v>85.518659589041107</v>
      </c>
      <c r="Q71" s="304">
        <f t="shared" si="24"/>
        <v>1726.2375684206897</v>
      </c>
      <c r="R71" s="304">
        <f t="shared" si="8"/>
        <v>3033.5166612945895</v>
      </c>
      <c r="S71" s="304">
        <f t="shared" si="9"/>
        <v>19778.444486303983</v>
      </c>
      <c r="T71" s="304">
        <f t="shared" si="10"/>
        <v>17104.938488611111</v>
      </c>
      <c r="U71" s="304">
        <f t="shared" si="11"/>
        <v>102.52944728092592</v>
      </c>
      <c r="V71" s="304">
        <f t="shared" si="12"/>
        <v>21251.928945205484</v>
      </c>
      <c r="W71" s="304">
        <f t="shared" si="25"/>
        <v>85.518659589041107</v>
      </c>
      <c r="X71" s="304">
        <f t="shared" si="26"/>
        <v>1726.2375684206897</v>
      </c>
      <c r="Y71" s="304">
        <f t="shared" si="13"/>
        <v>3033.5166612945895</v>
      </c>
      <c r="Z71" s="304">
        <f t="shared" si="14"/>
        <v>19778.444486303983</v>
      </c>
      <c r="AA71" s="304">
        <f t="shared" si="15"/>
        <v>17104.938488611111</v>
      </c>
      <c r="AB71" s="304">
        <f t="shared" si="16"/>
        <v>102.52944728092592</v>
      </c>
      <c r="AC71" s="304">
        <f t="shared" si="17"/>
        <v>21251.928945205484</v>
      </c>
      <c r="AD71" s="304">
        <f t="shared" si="27"/>
        <v>85.518659589041107</v>
      </c>
      <c r="AE71" s="304">
        <f t="shared" si="28"/>
        <v>1726.2375684206897</v>
      </c>
      <c r="AF71" s="304">
        <f t="shared" si="18"/>
        <v>3033.5166612945895</v>
      </c>
      <c r="AG71" s="304">
        <f t="shared" si="19"/>
        <v>19778.444486303983</v>
      </c>
      <c r="AH71" s="304">
        <f t="shared" si="20"/>
        <v>17104.938488611111</v>
      </c>
      <c r="AI71" s="304">
        <f t="shared" si="21"/>
        <v>102.52944728092592</v>
      </c>
      <c r="AJ71" s="304">
        <f t="shared" si="22"/>
        <v>21251.928945205484</v>
      </c>
      <c r="AK71" s="304">
        <f t="shared" si="29"/>
        <v>85.518659589041107</v>
      </c>
      <c r="AL71" s="304">
        <f t="shared" si="30"/>
        <v>1726.2375684206897</v>
      </c>
    </row>
    <row r="72" spans="1:38" ht="15">
      <c r="A72" s="26">
        <f t="shared" si="2"/>
        <v>45</v>
      </c>
      <c r="B72" s="171"/>
      <c r="C72" s="259" t="s">
        <v>134</v>
      </c>
      <c r="D72" s="303">
        <f>'[2]CDCM Volume Forecasts'!D72</f>
        <v>0</v>
      </c>
      <c r="E72" s="303">
        <f>'[2]CDCM Volume Forecasts'!E72</f>
        <v>0</v>
      </c>
      <c r="F72" s="303">
        <f>'[2]CDCM Volume Forecasts'!F72</f>
        <v>0</v>
      </c>
      <c r="G72" s="303">
        <f>'[2]CDCM Volume Forecasts'!G72</f>
        <v>0</v>
      </c>
      <c r="H72" s="303">
        <f>'[2]CDCM Volume Forecasts'!H72</f>
        <v>0</v>
      </c>
      <c r="I72" s="303">
        <f>'[2]CDCM Volume Forecasts'!I72</f>
        <v>0</v>
      </c>
      <c r="J72" s="303">
        <f>'[2]CDCM Volume Forecasts'!J72</f>
        <v>0</v>
      </c>
      <c r="K72" s="303">
        <f t="shared" si="3"/>
        <v>0</v>
      </c>
      <c r="L72" s="303">
        <f t="shared" si="4"/>
        <v>0</v>
      </c>
      <c r="M72" s="303">
        <f t="shared" si="5"/>
        <v>0</v>
      </c>
      <c r="N72" s="303">
        <f t="shared" si="6"/>
        <v>0</v>
      </c>
      <c r="O72" s="303">
        <f t="shared" si="7"/>
        <v>0</v>
      </c>
      <c r="P72" s="303"/>
      <c r="Q72" s="303"/>
      <c r="R72" s="303">
        <f t="shared" si="8"/>
        <v>0</v>
      </c>
      <c r="S72" s="303">
        <f t="shared" si="9"/>
        <v>0</v>
      </c>
      <c r="T72" s="303">
        <f t="shared" si="10"/>
        <v>0</v>
      </c>
      <c r="U72" s="303">
        <f t="shared" si="11"/>
        <v>0</v>
      </c>
      <c r="V72" s="303">
        <f t="shared" si="12"/>
        <v>0</v>
      </c>
      <c r="W72" s="303"/>
      <c r="X72" s="303"/>
      <c r="Y72" s="303">
        <f t="shared" si="13"/>
        <v>0</v>
      </c>
      <c r="Z72" s="303">
        <f t="shared" si="14"/>
        <v>0</v>
      </c>
      <c r="AA72" s="303">
        <f t="shared" si="15"/>
        <v>0</v>
      </c>
      <c r="AB72" s="303">
        <f t="shared" si="16"/>
        <v>0</v>
      </c>
      <c r="AC72" s="303">
        <f t="shared" si="17"/>
        <v>0</v>
      </c>
      <c r="AD72" s="303"/>
      <c r="AE72" s="303"/>
      <c r="AF72" s="303">
        <f t="shared" si="18"/>
        <v>0</v>
      </c>
      <c r="AG72" s="303">
        <f t="shared" si="19"/>
        <v>0</v>
      </c>
      <c r="AH72" s="303">
        <f t="shared" si="20"/>
        <v>0</v>
      </c>
      <c r="AI72" s="303">
        <f t="shared" si="21"/>
        <v>0</v>
      </c>
      <c r="AJ72" s="303">
        <f t="shared" si="22"/>
        <v>0</v>
      </c>
      <c r="AK72" s="303"/>
      <c r="AL72" s="303"/>
    </row>
    <row r="73" spans="1:38" ht="15">
      <c r="A73" s="26">
        <f t="shared" si="2"/>
        <v>46</v>
      </c>
      <c r="B73" s="171">
        <v>2</v>
      </c>
      <c r="C73" s="260" t="s">
        <v>61</v>
      </c>
      <c r="D73" s="304">
        <f>'[2]CDCM Volume Forecasts'!D73</f>
        <v>49864.368371854573</v>
      </c>
      <c r="E73" s="304">
        <f>'[2]CDCM Volume Forecasts'!E73</f>
        <v>369689.81514963449</v>
      </c>
      <c r="F73" s="304">
        <f>'[2]CDCM Volume Forecasts'!F73</f>
        <v>340515.48335188109</v>
      </c>
      <c r="G73" s="304">
        <f>'[2]CDCM Volume Forecasts'!G73</f>
        <v>1936.9854039786185</v>
      </c>
      <c r="H73" s="304">
        <f>'[2]CDCM Volume Forecasts'!H73</f>
        <v>364556.94204575109</v>
      </c>
      <c r="I73" s="304">
        <f>'[2]CDCM Volume Forecasts'!I73</f>
        <v>5286.8109888675162</v>
      </c>
      <c r="J73" s="304">
        <f>'[2]CDCM Volume Forecasts'!J73</f>
        <v>65191.59809982658</v>
      </c>
      <c r="K73" s="304">
        <f t="shared" si="3"/>
        <v>49864.368371854573</v>
      </c>
      <c r="L73" s="304">
        <f t="shared" si="4"/>
        <v>369689.81514963449</v>
      </c>
      <c r="M73" s="304">
        <f t="shared" si="5"/>
        <v>340515.48335188109</v>
      </c>
      <c r="N73" s="304">
        <f t="shared" si="6"/>
        <v>1936.9854039786185</v>
      </c>
      <c r="O73" s="304">
        <f t="shared" si="7"/>
        <v>364556.94204575109</v>
      </c>
      <c r="P73" s="304">
        <f t="shared" ref="P73:P74" si="31">IF(I73,((VLOOKUP($B73,$E$7:$AI$16,24)+1)*I73),)</f>
        <v>5286.8109888675162</v>
      </c>
      <c r="Q73" s="304">
        <f t="shared" ref="Q73:Q74" si="32">IF(J73,((VLOOKUP($B73,$E$7:$AI$16,28)+1)*J73),)</f>
        <v>65191.59809982658</v>
      </c>
      <c r="R73" s="304">
        <f t="shared" si="8"/>
        <v>49864.368371854573</v>
      </c>
      <c r="S73" s="304">
        <f t="shared" si="9"/>
        <v>369689.81514963449</v>
      </c>
      <c r="T73" s="304">
        <f t="shared" si="10"/>
        <v>340515.48335188109</v>
      </c>
      <c r="U73" s="304">
        <f t="shared" si="11"/>
        <v>1936.9854039786185</v>
      </c>
      <c r="V73" s="304">
        <f t="shared" si="12"/>
        <v>364556.94204575109</v>
      </c>
      <c r="W73" s="304">
        <f t="shared" ref="W73:W74" si="33">IF(I73,((VLOOKUP($B73,$E$7:$AI$16,5+20)+1)*P73),)</f>
        <v>5286.8109888675162</v>
      </c>
      <c r="X73" s="304">
        <f t="shared" ref="X73:X74" si="34">IF(J73,((VLOOKUP($B73,$E$7:$AI$16,5+24)+1)*Q73),)</f>
        <v>65191.59809982658</v>
      </c>
      <c r="Y73" s="304">
        <f t="shared" si="13"/>
        <v>49864.368371854573</v>
      </c>
      <c r="Z73" s="304">
        <f t="shared" si="14"/>
        <v>369689.81514963449</v>
      </c>
      <c r="AA73" s="304">
        <f t="shared" si="15"/>
        <v>340515.48335188109</v>
      </c>
      <c r="AB73" s="304">
        <f t="shared" si="16"/>
        <v>1936.9854039786185</v>
      </c>
      <c r="AC73" s="304">
        <f t="shared" si="17"/>
        <v>364556.94204575109</v>
      </c>
      <c r="AD73" s="304">
        <f t="shared" ref="AD73:AD74" si="35">IF(I73,((VLOOKUP($B73,$E$7:$AI$16,6+20)+1)*W73),)</f>
        <v>5286.8109888675162</v>
      </c>
      <c r="AE73" s="304">
        <f t="shared" ref="AE73:AE74" si="36">IF(J73,((VLOOKUP($B73,$E$7:$AI$16,6+24)+1)*X73),)</f>
        <v>65191.59809982658</v>
      </c>
      <c r="AF73" s="304">
        <f t="shared" si="18"/>
        <v>49864.368371854573</v>
      </c>
      <c r="AG73" s="304">
        <f t="shared" si="19"/>
        <v>369689.81514963449</v>
      </c>
      <c r="AH73" s="304">
        <f t="shared" si="20"/>
        <v>340515.48335188109</v>
      </c>
      <c r="AI73" s="304">
        <f t="shared" si="21"/>
        <v>1936.9854039786185</v>
      </c>
      <c r="AJ73" s="304">
        <f t="shared" si="22"/>
        <v>364556.94204575109</v>
      </c>
      <c r="AK73" s="304">
        <f>IF(I73,((VLOOKUP($B73,$E$7:$AI$16,7+20)+1)*AD73),)</f>
        <v>5286.8109888675162</v>
      </c>
      <c r="AL73" s="304">
        <f>IF(J73,((VLOOKUP($B73,$E$7:$AI$16,7+24)+1)*AE73),)</f>
        <v>65191.59809982658</v>
      </c>
    </row>
    <row r="74" spans="1:38" ht="15">
      <c r="A74" s="26">
        <f t="shared" si="2"/>
        <v>47</v>
      </c>
      <c r="B74" s="171">
        <v>2</v>
      </c>
      <c r="C74" s="260" t="s">
        <v>135</v>
      </c>
      <c r="D74" s="304">
        <f>'[2]CDCM Volume Forecasts'!D74</f>
        <v>7.3537928980044374</v>
      </c>
      <c r="E74" s="304">
        <f>'[2]CDCM Volume Forecasts'!E74</f>
        <v>37.820208493355103</v>
      </c>
      <c r="F74" s="304">
        <f>'[2]CDCM Volume Forecasts'!F74</f>
        <v>52.294666737338311</v>
      </c>
      <c r="G74" s="304">
        <f>'[2]CDCM Volume Forecasts'!G74</f>
        <v>1.1758993150684933</v>
      </c>
      <c r="H74" s="304">
        <f>'[2]CDCM Volume Forecasts'!H74</f>
        <v>626.75433493150683</v>
      </c>
      <c r="I74" s="304">
        <f>'[2]CDCM Volume Forecasts'!I74</f>
        <v>0</v>
      </c>
      <c r="J74" s="304">
        <f>'[2]CDCM Volume Forecasts'!J74</f>
        <v>1.4026004999999999</v>
      </c>
      <c r="K74" s="304">
        <f t="shared" si="3"/>
        <v>7.3537928980044374</v>
      </c>
      <c r="L74" s="304">
        <f t="shared" si="4"/>
        <v>37.820208493355103</v>
      </c>
      <c r="M74" s="304">
        <f t="shared" si="5"/>
        <v>52.294666737338311</v>
      </c>
      <c r="N74" s="304">
        <f t="shared" si="6"/>
        <v>1.1758993150684933</v>
      </c>
      <c r="O74" s="304">
        <f t="shared" si="7"/>
        <v>626.75433493150683</v>
      </c>
      <c r="P74" s="304">
        <f t="shared" si="31"/>
        <v>0</v>
      </c>
      <c r="Q74" s="304">
        <f t="shared" si="32"/>
        <v>1.4026004999999999</v>
      </c>
      <c r="R74" s="304">
        <f t="shared" si="8"/>
        <v>7.3537928980044374</v>
      </c>
      <c r="S74" s="304">
        <f t="shared" si="9"/>
        <v>37.820208493355103</v>
      </c>
      <c r="T74" s="304">
        <f t="shared" si="10"/>
        <v>52.294666737338311</v>
      </c>
      <c r="U74" s="304">
        <f t="shared" si="11"/>
        <v>1.1758993150684933</v>
      </c>
      <c r="V74" s="304">
        <f t="shared" si="12"/>
        <v>626.75433493150683</v>
      </c>
      <c r="W74" s="304">
        <f t="shared" si="33"/>
        <v>0</v>
      </c>
      <c r="X74" s="304">
        <f t="shared" si="34"/>
        <v>1.4026004999999999</v>
      </c>
      <c r="Y74" s="304">
        <f t="shared" si="13"/>
        <v>7.3537928980044374</v>
      </c>
      <c r="Z74" s="304">
        <f t="shared" si="14"/>
        <v>37.820208493355103</v>
      </c>
      <c r="AA74" s="304">
        <f t="shared" si="15"/>
        <v>52.294666737338311</v>
      </c>
      <c r="AB74" s="304">
        <f t="shared" si="16"/>
        <v>1.1758993150684933</v>
      </c>
      <c r="AC74" s="304">
        <f t="shared" si="17"/>
        <v>626.75433493150683</v>
      </c>
      <c r="AD74" s="304">
        <f t="shared" si="35"/>
        <v>0</v>
      </c>
      <c r="AE74" s="304">
        <f t="shared" si="36"/>
        <v>1.4026004999999999</v>
      </c>
      <c r="AF74" s="304">
        <f t="shared" si="18"/>
        <v>7.3537928980044374</v>
      </c>
      <c r="AG74" s="304">
        <f t="shared" si="19"/>
        <v>37.820208493355103</v>
      </c>
      <c r="AH74" s="304">
        <f t="shared" si="20"/>
        <v>52.294666737338311</v>
      </c>
      <c r="AI74" s="304">
        <f t="shared" si="21"/>
        <v>1.1758993150684933</v>
      </c>
      <c r="AJ74" s="304">
        <f t="shared" si="22"/>
        <v>626.75433493150683</v>
      </c>
      <c r="AK74" s="304">
        <f>IF(I74,((VLOOKUP($B74,$E$7:$AI$16,7+20)+1)*AD74),)</f>
        <v>0</v>
      </c>
      <c r="AL74" s="304">
        <f>IF(J74,((VLOOKUP($B74,$E$7:$AI$16,7+24)+1)*AE74),)</f>
        <v>1.4026004999999999</v>
      </c>
    </row>
    <row r="75" spans="1:38" ht="15">
      <c r="A75" s="26">
        <f t="shared" si="2"/>
        <v>48</v>
      </c>
      <c r="B75" s="171"/>
      <c r="C75" s="259" t="s">
        <v>136</v>
      </c>
      <c r="D75" s="303">
        <f>'[2]CDCM Volume Forecasts'!D75</f>
        <v>0</v>
      </c>
      <c r="E75" s="303">
        <f>'[2]CDCM Volume Forecasts'!E75</f>
        <v>0</v>
      </c>
      <c r="F75" s="303">
        <f>'[2]CDCM Volume Forecasts'!F75</f>
        <v>0</v>
      </c>
      <c r="G75" s="303">
        <f>'[2]CDCM Volume Forecasts'!G75</f>
        <v>0</v>
      </c>
      <c r="H75" s="303">
        <f>'[2]CDCM Volume Forecasts'!H75</f>
        <v>0</v>
      </c>
      <c r="I75" s="303">
        <f>'[2]CDCM Volume Forecasts'!I75</f>
        <v>0</v>
      </c>
      <c r="J75" s="303">
        <f>'[2]CDCM Volume Forecasts'!J75</f>
        <v>0</v>
      </c>
      <c r="K75" s="303">
        <f t="shared" si="3"/>
        <v>0</v>
      </c>
      <c r="L75" s="303">
        <f t="shared" si="4"/>
        <v>0</v>
      </c>
      <c r="M75" s="303">
        <f t="shared" si="5"/>
        <v>0</v>
      </c>
      <c r="N75" s="303">
        <f t="shared" si="6"/>
        <v>0</v>
      </c>
      <c r="O75" s="303">
        <f t="shared" si="7"/>
        <v>0</v>
      </c>
      <c r="P75" s="303"/>
      <c r="Q75" s="303"/>
      <c r="R75" s="303">
        <f t="shared" si="8"/>
        <v>0</v>
      </c>
      <c r="S75" s="303">
        <f t="shared" si="9"/>
        <v>0</v>
      </c>
      <c r="T75" s="303">
        <f t="shared" si="10"/>
        <v>0</v>
      </c>
      <c r="U75" s="303">
        <f t="shared" si="11"/>
        <v>0</v>
      </c>
      <c r="V75" s="303">
        <f t="shared" si="12"/>
        <v>0</v>
      </c>
      <c r="W75" s="303"/>
      <c r="X75" s="303"/>
      <c r="Y75" s="303">
        <f t="shared" si="13"/>
        <v>0</v>
      </c>
      <c r="Z75" s="303">
        <f t="shared" si="14"/>
        <v>0</v>
      </c>
      <c r="AA75" s="303">
        <f t="shared" si="15"/>
        <v>0</v>
      </c>
      <c r="AB75" s="303">
        <f t="shared" si="16"/>
        <v>0</v>
      </c>
      <c r="AC75" s="303">
        <f t="shared" si="17"/>
        <v>0</v>
      </c>
      <c r="AD75" s="303"/>
      <c r="AE75" s="303"/>
      <c r="AF75" s="303">
        <f t="shared" si="18"/>
        <v>0</v>
      </c>
      <c r="AG75" s="303">
        <f t="shared" si="19"/>
        <v>0</v>
      </c>
      <c r="AH75" s="303">
        <f t="shared" si="20"/>
        <v>0</v>
      </c>
      <c r="AI75" s="303">
        <f t="shared" si="21"/>
        <v>0</v>
      </c>
      <c r="AJ75" s="303">
        <f t="shared" si="22"/>
        <v>0</v>
      </c>
      <c r="AK75" s="303"/>
      <c r="AL75" s="303"/>
    </row>
    <row r="76" spans="1:38" ht="15">
      <c r="A76" s="26">
        <f t="shared" si="2"/>
        <v>49</v>
      </c>
      <c r="B76" s="171">
        <v>2</v>
      </c>
      <c r="C76" s="260" t="s">
        <v>73</v>
      </c>
      <c r="D76" s="304">
        <f>'[2]CDCM Volume Forecasts'!D76</f>
        <v>153504.23635739877</v>
      </c>
      <c r="E76" s="304">
        <f>'[2]CDCM Volume Forecasts'!E76</f>
        <v>1093420.3303867856</v>
      </c>
      <c r="F76" s="304">
        <f>'[2]CDCM Volume Forecasts'!F76</f>
        <v>1183755.4135911537</v>
      </c>
      <c r="G76" s="304">
        <f>'[2]CDCM Volume Forecasts'!G76</f>
        <v>1060.270602740768</v>
      </c>
      <c r="H76" s="304">
        <f>'[2]CDCM Volume Forecasts'!H76</f>
        <v>854296.8159186152</v>
      </c>
      <c r="I76" s="304">
        <f>'[2]CDCM Volume Forecasts'!I76</f>
        <v>14165.401246932342</v>
      </c>
      <c r="J76" s="304">
        <f>'[2]CDCM Volume Forecasts'!J76</f>
        <v>163805.20245465485</v>
      </c>
      <c r="K76" s="304">
        <f t="shared" si="3"/>
        <v>153504.23635739877</v>
      </c>
      <c r="L76" s="304">
        <f t="shared" si="4"/>
        <v>1093420.3303867856</v>
      </c>
      <c r="M76" s="304">
        <f t="shared" si="5"/>
        <v>1183755.4135911537</v>
      </c>
      <c r="N76" s="304">
        <f t="shared" si="6"/>
        <v>1060.270602740768</v>
      </c>
      <c r="O76" s="304">
        <f t="shared" si="7"/>
        <v>854296.8159186152</v>
      </c>
      <c r="P76" s="304">
        <f t="shared" ref="P76:P77" si="37">IF(I76,((VLOOKUP($B76,$E$7:$AI$16,24)+1)*I76),)</f>
        <v>14165.401246932342</v>
      </c>
      <c r="Q76" s="304">
        <f t="shared" ref="Q76:Q77" si="38">IF(J76,((VLOOKUP($B76,$E$7:$AI$16,28)+1)*J76),)</f>
        <v>163805.20245465485</v>
      </c>
      <c r="R76" s="304">
        <f t="shared" si="8"/>
        <v>153504.23635739877</v>
      </c>
      <c r="S76" s="304">
        <f t="shared" si="9"/>
        <v>1093420.3303867856</v>
      </c>
      <c r="T76" s="304">
        <f t="shared" si="10"/>
        <v>1183755.4135911537</v>
      </c>
      <c r="U76" s="304">
        <f t="shared" si="11"/>
        <v>1060.270602740768</v>
      </c>
      <c r="V76" s="304">
        <f t="shared" si="12"/>
        <v>854296.8159186152</v>
      </c>
      <c r="W76" s="304">
        <f t="shared" ref="W76:W77" si="39">IF(I76,((VLOOKUP($B76,$E$7:$AI$16,5+20)+1)*P76),)</f>
        <v>14165.401246932342</v>
      </c>
      <c r="X76" s="304">
        <f t="shared" ref="X76:X77" si="40">IF(J76,((VLOOKUP($B76,$E$7:$AI$16,5+24)+1)*Q76),)</f>
        <v>163805.20245465485</v>
      </c>
      <c r="Y76" s="304">
        <f t="shared" si="13"/>
        <v>153504.23635739877</v>
      </c>
      <c r="Z76" s="304">
        <f t="shared" si="14"/>
        <v>1093420.3303867856</v>
      </c>
      <c r="AA76" s="304">
        <f t="shared" si="15"/>
        <v>1183755.4135911537</v>
      </c>
      <c r="AB76" s="304">
        <f t="shared" si="16"/>
        <v>1060.270602740768</v>
      </c>
      <c r="AC76" s="304">
        <f t="shared" si="17"/>
        <v>854296.8159186152</v>
      </c>
      <c r="AD76" s="304">
        <f t="shared" ref="AD76:AD77" si="41">IF(I76,((VLOOKUP($B76,$E$7:$AI$16,6+20)+1)*W76),)</f>
        <v>14165.401246932342</v>
      </c>
      <c r="AE76" s="304">
        <f t="shared" ref="AE76:AE77" si="42">IF(J76,((VLOOKUP($B76,$E$7:$AI$16,6+24)+1)*X76),)</f>
        <v>163805.20245465485</v>
      </c>
      <c r="AF76" s="304">
        <f t="shared" si="18"/>
        <v>153504.23635739877</v>
      </c>
      <c r="AG76" s="304">
        <f t="shared" si="19"/>
        <v>1093420.3303867856</v>
      </c>
      <c r="AH76" s="304">
        <f t="shared" si="20"/>
        <v>1183755.4135911537</v>
      </c>
      <c r="AI76" s="304">
        <f t="shared" si="21"/>
        <v>1060.270602740768</v>
      </c>
      <c r="AJ76" s="304">
        <f t="shared" si="22"/>
        <v>854296.8159186152</v>
      </c>
      <c r="AK76" s="304">
        <f>IF(I76,((VLOOKUP($B76,$E$7:$AI$16,7+20)+1)*AD76),)</f>
        <v>14165.401246932342</v>
      </c>
      <c r="AL76" s="304">
        <f>IF(J76,((VLOOKUP($B76,$E$7:$AI$16,7+24)+1)*AE76),)</f>
        <v>163805.20245465485</v>
      </c>
    </row>
    <row r="77" spans="1:38" ht="15">
      <c r="A77" s="26">
        <f t="shared" si="2"/>
        <v>50</v>
      </c>
      <c r="B77" s="171">
        <v>2</v>
      </c>
      <c r="C77" s="260" t="s">
        <v>137</v>
      </c>
      <c r="D77" s="304">
        <f>'[2]CDCM Volume Forecasts'!D77</f>
        <v>835.56520149345931</v>
      </c>
      <c r="E77" s="304">
        <f>'[2]CDCM Volume Forecasts'!E77</f>
        <v>5354.5554566887531</v>
      </c>
      <c r="F77" s="304">
        <f>'[2]CDCM Volume Forecasts'!F77</f>
        <v>7404.6287378891438</v>
      </c>
      <c r="G77" s="304">
        <f>'[2]CDCM Volume Forecasts'!G77</f>
        <v>7.7141773972602756</v>
      </c>
      <c r="H77" s="304">
        <f>'[2]CDCM Volume Forecasts'!H77</f>
        <v>12519.13216438356</v>
      </c>
      <c r="I77" s="304">
        <f>'[2]CDCM Volume Forecasts'!I77</f>
        <v>0</v>
      </c>
      <c r="J77" s="304">
        <f>'[2]CDCM Volume Forecasts'!J77</f>
        <v>256.52510143448279</v>
      </c>
      <c r="K77" s="304">
        <f t="shared" si="3"/>
        <v>835.56520149345931</v>
      </c>
      <c r="L77" s="304">
        <f t="shared" si="4"/>
        <v>5354.5554566887531</v>
      </c>
      <c r="M77" s="304">
        <f t="shared" si="5"/>
        <v>7404.6287378891438</v>
      </c>
      <c r="N77" s="304">
        <f t="shared" si="6"/>
        <v>7.7141773972602756</v>
      </c>
      <c r="O77" s="304">
        <f t="shared" si="7"/>
        <v>12519.13216438356</v>
      </c>
      <c r="P77" s="304">
        <f t="shared" si="37"/>
        <v>0</v>
      </c>
      <c r="Q77" s="304">
        <f t="shared" si="38"/>
        <v>256.52510143448279</v>
      </c>
      <c r="R77" s="304">
        <f t="shared" si="8"/>
        <v>835.56520149345931</v>
      </c>
      <c r="S77" s="304">
        <f t="shared" si="9"/>
        <v>5354.5554566887531</v>
      </c>
      <c r="T77" s="304">
        <f t="shared" si="10"/>
        <v>7404.6287378891438</v>
      </c>
      <c r="U77" s="304">
        <f t="shared" si="11"/>
        <v>7.7141773972602756</v>
      </c>
      <c r="V77" s="304">
        <f t="shared" si="12"/>
        <v>12519.13216438356</v>
      </c>
      <c r="W77" s="304">
        <f t="shared" si="39"/>
        <v>0</v>
      </c>
      <c r="X77" s="304">
        <f t="shared" si="40"/>
        <v>256.52510143448279</v>
      </c>
      <c r="Y77" s="304">
        <f t="shared" si="13"/>
        <v>835.56520149345931</v>
      </c>
      <c r="Z77" s="304">
        <f t="shared" si="14"/>
        <v>5354.5554566887531</v>
      </c>
      <c r="AA77" s="304">
        <f t="shared" si="15"/>
        <v>7404.6287378891438</v>
      </c>
      <c r="AB77" s="304">
        <f t="shared" si="16"/>
        <v>7.7141773972602756</v>
      </c>
      <c r="AC77" s="304">
        <f t="shared" si="17"/>
        <v>12519.13216438356</v>
      </c>
      <c r="AD77" s="304">
        <f t="shared" si="41"/>
        <v>0</v>
      </c>
      <c r="AE77" s="304">
        <f t="shared" si="42"/>
        <v>256.52510143448279</v>
      </c>
      <c r="AF77" s="304">
        <f t="shared" si="18"/>
        <v>835.56520149345931</v>
      </c>
      <c r="AG77" s="304">
        <f t="shared" si="19"/>
        <v>5354.5554566887531</v>
      </c>
      <c r="AH77" s="304">
        <f t="shared" si="20"/>
        <v>7404.6287378891438</v>
      </c>
      <c r="AI77" s="304">
        <f t="shared" si="21"/>
        <v>7.7141773972602756</v>
      </c>
      <c r="AJ77" s="304">
        <f t="shared" si="22"/>
        <v>12519.13216438356</v>
      </c>
      <c r="AK77" s="304">
        <f>IF(I77,((VLOOKUP($B77,$E$7:$AI$16,7+20)+1)*AD77),)</f>
        <v>0</v>
      </c>
      <c r="AL77" s="304">
        <f>IF(J77,((VLOOKUP($B77,$E$7:$AI$16,7+24)+1)*AE77),)</f>
        <v>256.52510143448279</v>
      </c>
    </row>
    <row r="78" spans="1:38" ht="15">
      <c r="A78" s="26">
        <f t="shared" si="2"/>
        <v>51</v>
      </c>
      <c r="B78" s="171"/>
      <c r="C78" s="259" t="s">
        <v>138</v>
      </c>
      <c r="D78" s="303">
        <f>'[2]CDCM Volume Forecasts'!D78</f>
        <v>0</v>
      </c>
      <c r="E78" s="303">
        <f>'[2]CDCM Volume Forecasts'!E78</f>
        <v>0</v>
      </c>
      <c r="F78" s="303">
        <f>'[2]CDCM Volume Forecasts'!F78</f>
        <v>0</v>
      </c>
      <c r="G78" s="303">
        <f>'[2]CDCM Volume Forecasts'!G78</f>
        <v>0</v>
      </c>
      <c r="H78" s="303">
        <f>'[2]CDCM Volume Forecasts'!H78</f>
        <v>0</v>
      </c>
      <c r="I78" s="303">
        <f>'[2]CDCM Volume Forecasts'!I78</f>
        <v>0</v>
      </c>
      <c r="J78" s="303">
        <f>'[2]CDCM Volume Forecasts'!J78</f>
        <v>0</v>
      </c>
      <c r="K78" s="303">
        <f t="shared" si="3"/>
        <v>0</v>
      </c>
      <c r="L78" s="303">
        <f t="shared" si="4"/>
        <v>0</v>
      </c>
      <c r="M78" s="303">
        <f t="shared" si="5"/>
        <v>0</v>
      </c>
      <c r="N78" s="303">
        <f t="shared" si="6"/>
        <v>0</v>
      </c>
      <c r="O78" s="303">
        <f t="shared" si="7"/>
        <v>0</v>
      </c>
      <c r="P78" s="303"/>
      <c r="Q78" s="303"/>
      <c r="R78" s="303">
        <f t="shared" si="8"/>
        <v>0</v>
      </c>
      <c r="S78" s="303">
        <f t="shared" si="9"/>
        <v>0</v>
      </c>
      <c r="T78" s="303">
        <f t="shared" si="10"/>
        <v>0</v>
      </c>
      <c r="U78" s="303">
        <f t="shared" si="11"/>
        <v>0</v>
      </c>
      <c r="V78" s="303">
        <f t="shared" si="12"/>
        <v>0</v>
      </c>
      <c r="W78" s="303"/>
      <c r="X78" s="303"/>
      <c r="Y78" s="303">
        <f t="shared" si="13"/>
        <v>0</v>
      </c>
      <c r="Z78" s="303">
        <f t="shared" si="14"/>
        <v>0</v>
      </c>
      <c r="AA78" s="303">
        <f t="shared" si="15"/>
        <v>0</v>
      </c>
      <c r="AB78" s="303">
        <f t="shared" si="16"/>
        <v>0</v>
      </c>
      <c r="AC78" s="303">
        <f t="shared" si="17"/>
        <v>0</v>
      </c>
      <c r="AD78" s="303"/>
      <c r="AE78" s="303"/>
      <c r="AF78" s="303">
        <f t="shared" si="18"/>
        <v>0</v>
      </c>
      <c r="AG78" s="303">
        <f t="shared" si="19"/>
        <v>0</v>
      </c>
      <c r="AH78" s="303">
        <f t="shared" si="20"/>
        <v>0</v>
      </c>
      <c r="AI78" s="303">
        <f t="shared" si="21"/>
        <v>0</v>
      </c>
      <c r="AJ78" s="303">
        <f t="shared" si="22"/>
        <v>0</v>
      </c>
      <c r="AK78" s="303"/>
      <c r="AL78" s="303"/>
    </row>
    <row r="79" spans="1:38" ht="15">
      <c r="A79" s="26">
        <f t="shared" si="2"/>
        <v>52</v>
      </c>
      <c r="B79" s="171">
        <v>1</v>
      </c>
      <c r="C79" s="260" t="s">
        <v>93</v>
      </c>
      <c r="D79" s="304">
        <f>'[2]CDCM Volume Forecasts'!D79</f>
        <v>10121.811870412395</v>
      </c>
      <c r="E79" s="305">
        <f>'[2]CDCM Volume Forecasts'!E79</f>
        <v>0</v>
      </c>
      <c r="F79" s="305">
        <f>'[2]CDCM Volume Forecasts'!F79</f>
        <v>0</v>
      </c>
      <c r="G79" s="304">
        <f>'[2]CDCM Volume Forecasts'!G79</f>
        <v>741</v>
      </c>
      <c r="H79" s="305">
        <f>'[2]CDCM Volume Forecasts'!H79</f>
        <v>0</v>
      </c>
      <c r="I79" s="305">
        <f>'[2]CDCM Volume Forecasts'!I79</f>
        <v>0</v>
      </c>
      <c r="J79" s="305">
        <f>'[2]CDCM Volume Forecasts'!J79</f>
        <v>0</v>
      </c>
      <c r="K79" s="304">
        <f t="shared" si="3"/>
        <v>10121.811870412395</v>
      </c>
      <c r="L79" s="305">
        <f t="shared" si="4"/>
        <v>0</v>
      </c>
      <c r="M79" s="305">
        <f t="shared" si="5"/>
        <v>0</v>
      </c>
      <c r="N79" s="304">
        <f t="shared" si="6"/>
        <v>741</v>
      </c>
      <c r="O79" s="305">
        <f t="shared" si="7"/>
        <v>0</v>
      </c>
      <c r="P79" s="305"/>
      <c r="Q79" s="305"/>
      <c r="R79" s="304">
        <f t="shared" si="8"/>
        <v>10121.811870412395</v>
      </c>
      <c r="S79" s="305">
        <f t="shared" si="9"/>
        <v>0</v>
      </c>
      <c r="T79" s="305">
        <f t="shared" si="10"/>
        <v>0</v>
      </c>
      <c r="U79" s="304">
        <f t="shared" si="11"/>
        <v>741</v>
      </c>
      <c r="V79" s="305">
        <f t="shared" si="12"/>
        <v>0</v>
      </c>
      <c r="W79" s="305"/>
      <c r="X79" s="305"/>
      <c r="Y79" s="304">
        <f t="shared" si="13"/>
        <v>10121.811870412395</v>
      </c>
      <c r="Z79" s="305">
        <f t="shared" si="14"/>
        <v>0</v>
      </c>
      <c r="AA79" s="305">
        <f t="shared" si="15"/>
        <v>0</v>
      </c>
      <c r="AB79" s="304">
        <f t="shared" si="16"/>
        <v>741</v>
      </c>
      <c r="AC79" s="305">
        <f t="shared" si="17"/>
        <v>0</v>
      </c>
      <c r="AD79" s="305"/>
      <c r="AE79" s="305"/>
      <c r="AF79" s="304">
        <f t="shared" si="18"/>
        <v>10121.811870412395</v>
      </c>
      <c r="AG79" s="305">
        <f t="shared" si="19"/>
        <v>0</v>
      </c>
      <c r="AH79" s="305">
        <f t="shared" si="20"/>
        <v>0</v>
      </c>
      <c r="AI79" s="304">
        <f t="shared" si="21"/>
        <v>741</v>
      </c>
      <c r="AJ79" s="305">
        <f t="shared" si="22"/>
        <v>0</v>
      </c>
      <c r="AK79" s="305"/>
      <c r="AL79" s="305"/>
    </row>
    <row r="80" spans="1:38" ht="15">
      <c r="A80" s="26">
        <f t="shared" si="2"/>
        <v>53</v>
      </c>
      <c r="B80" s="171">
        <v>1</v>
      </c>
      <c r="C80" s="260" t="s">
        <v>139</v>
      </c>
      <c r="D80" s="304">
        <f>'[2]CDCM Volume Forecasts'!D80</f>
        <v>136.7981201637931</v>
      </c>
      <c r="E80" s="305">
        <f>'[2]CDCM Volume Forecasts'!E80</f>
        <v>0</v>
      </c>
      <c r="F80" s="305">
        <f>'[2]CDCM Volume Forecasts'!F80</f>
        <v>0</v>
      </c>
      <c r="G80" s="304">
        <f>'[2]CDCM Volume Forecasts'!G80</f>
        <v>0</v>
      </c>
      <c r="H80" s="305">
        <f>'[2]CDCM Volume Forecasts'!H80</f>
        <v>0</v>
      </c>
      <c r="I80" s="305">
        <f>'[2]CDCM Volume Forecasts'!I80</f>
        <v>0</v>
      </c>
      <c r="J80" s="305">
        <f>'[2]CDCM Volume Forecasts'!J80</f>
        <v>0</v>
      </c>
      <c r="K80" s="304">
        <f t="shared" si="3"/>
        <v>136.7981201637931</v>
      </c>
      <c r="L80" s="305">
        <f t="shared" si="4"/>
        <v>0</v>
      </c>
      <c r="M80" s="305">
        <f t="shared" si="5"/>
        <v>0</v>
      </c>
      <c r="N80" s="304">
        <f t="shared" si="6"/>
        <v>0</v>
      </c>
      <c r="O80" s="305">
        <f t="shared" si="7"/>
        <v>0</v>
      </c>
      <c r="P80" s="305"/>
      <c r="Q80" s="305"/>
      <c r="R80" s="304">
        <f t="shared" si="8"/>
        <v>136.7981201637931</v>
      </c>
      <c r="S80" s="305">
        <f t="shared" si="9"/>
        <v>0</v>
      </c>
      <c r="T80" s="305">
        <f t="shared" si="10"/>
        <v>0</v>
      </c>
      <c r="U80" s="304">
        <f t="shared" si="11"/>
        <v>0</v>
      </c>
      <c r="V80" s="305">
        <f t="shared" si="12"/>
        <v>0</v>
      </c>
      <c r="W80" s="305"/>
      <c r="X80" s="305"/>
      <c r="Y80" s="304">
        <f t="shared" si="13"/>
        <v>136.7981201637931</v>
      </c>
      <c r="Z80" s="305">
        <f t="shared" si="14"/>
        <v>0</v>
      </c>
      <c r="AA80" s="305">
        <f t="shared" si="15"/>
        <v>0</v>
      </c>
      <c r="AB80" s="304">
        <f t="shared" si="16"/>
        <v>0</v>
      </c>
      <c r="AC80" s="305">
        <f t="shared" si="17"/>
        <v>0</v>
      </c>
      <c r="AD80" s="305"/>
      <c r="AE80" s="305"/>
      <c r="AF80" s="304">
        <f t="shared" si="18"/>
        <v>136.7981201637931</v>
      </c>
      <c r="AG80" s="305">
        <f t="shared" si="19"/>
        <v>0</v>
      </c>
      <c r="AH80" s="305">
        <f t="shared" si="20"/>
        <v>0</v>
      </c>
      <c r="AI80" s="304">
        <f t="shared" si="21"/>
        <v>0</v>
      </c>
      <c r="AJ80" s="305">
        <f t="shared" si="22"/>
        <v>0</v>
      </c>
      <c r="AK80" s="305"/>
      <c r="AL80" s="305"/>
    </row>
    <row r="81" spans="1:38" ht="15">
      <c r="A81" s="26">
        <f t="shared" si="2"/>
        <v>54</v>
      </c>
      <c r="B81" s="171">
        <v>1</v>
      </c>
      <c r="C81" s="260" t="s">
        <v>140</v>
      </c>
      <c r="D81" s="304">
        <f>'[2]CDCM Volume Forecasts'!D81</f>
        <v>23.736825</v>
      </c>
      <c r="E81" s="305">
        <f>'[2]CDCM Volume Forecasts'!E81</f>
        <v>0</v>
      </c>
      <c r="F81" s="305">
        <f>'[2]CDCM Volume Forecasts'!F81</f>
        <v>0</v>
      </c>
      <c r="G81" s="304">
        <f>'[2]CDCM Volume Forecasts'!G81</f>
        <v>0</v>
      </c>
      <c r="H81" s="305">
        <f>'[2]CDCM Volume Forecasts'!H81</f>
        <v>0</v>
      </c>
      <c r="I81" s="305">
        <f>'[2]CDCM Volume Forecasts'!I81</f>
        <v>0</v>
      </c>
      <c r="J81" s="305">
        <f>'[2]CDCM Volume Forecasts'!J81</f>
        <v>0</v>
      </c>
      <c r="K81" s="304">
        <f t="shared" si="3"/>
        <v>23.736825</v>
      </c>
      <c r="L81" s="305">
        <f t="shared" si="4"/>
        <v>0</v>
      </c>
      <c r="M81" s="305">
        <f t="shared" si="5"/>
        <v>0</v>
      </c>
      <c r="N81" s="304">
        <f t="shared" si="6"/>
        <v>0</v>
      </c>
      <c r="O81" s="305">
        <f t="shared" si="7"/>
        <v>0</v>
      </c>
      <c r="P81" s="305"/>
      <c r="Q81" s="305"/>
      <c r="R81" s="304">
        <f t="shared" si="8"/>
        <v>23.736825</v>
      </c>
      <c r="S81" s="305">
        <f t="shared" si="9"/>
        <v>0</v>
      </c>
      <c r="T81" s="305">
        <f t="shared" si="10"/>
        <v>0</v>
      </c>
      <c r="U81" s="304">
        <f t="shared" si="11"/>
        <v>0</v>
      </c>
      <c r="V81" s="305">
        <f t="shared" si="12"/>
        <v>0</v>
      </c>
      <c r="W81" s="305"/>
      <c r="X81" s="305"/>
      <c r="Y81" s="304">
        <f t="shared" si="13"/>
        <v>23.736825</v>
      </c>
      <c r="Z81" s="305">
        <f t="shared" si="14"/>
        <v>0</v>
      </c>
      <c r="AA81" s="305">
        <f t="shared" si="15"/>
        <v>0</v>
      </c>
      <c r="AB81" s="304">
        <f t="shared" si="16"/>
        <v>0</v>
      </c>
      <c r="AC81" s="305">
        <f t="shared" si="17"/>
        <v>0</v>
      </c>
      <c r="AD81" s="305"/>
      <c r="AE81" s="305"/>
      <c r="AF81" s="304">
        <f t="shared" si="18"/>
        <v>23.736825</v>
      </c>
      <c r="AG81" s="305">
        <f t="shared" si="19"/>
        <v>0</v>
      </c>
      <c r="AH81" s="305">
        <f t="shared" si="20"/>
        <v>0</v>
      </c>
      <c r="AI81" s="304">
        <f t="shared" si="21"/>
        <v>0</v>
      </c>
      <c r="AJ81" s="305">
        <f t="shared" si="22"/>
        <v>0</v>
      </c>
      <c r="AK81" s="305"/>
      <c r="AL81" s="305"/>
    </row>
    <row r="82" spans="1:38" ht="15">
      <c r="A82" s="26">
        <f t="shared" si="2"/>
        <v>55</v>
      </c>
      <c r="B82" s="171"/>
      <c r="C82" s="259" t="s">
        <v>141</v>
      </c>
      <c r="D82" s="303">
        <f>'[2]CDCM Volume Forecasts'!D82</f>
        <v>0</v>
      </c>
      <c r="E82" s="303">
        <f>'[2]CDCM Volume Forecasts'!E82</f>
        <v>0</v>
      </c>
      <c r="F82" s="303">
        <f>'[2]CDCM Volume Forecasts'!F82</f>
        <v>0</v>
      </c>
      <c r="G82" s="303">
        <f>'[2]CDCM Volume Forecasts'!G82</f>
        <v>0</v>
      </c>
      <c r="H82" s="303">
        <f>'[2]CDCM Volume Forecasts'!H82</f>
        <v>0</v>
      </c>
      <c r="I82" s="303">
        <f>'[2]CDCM Volume Forecasts'!I82</f>
        <v>0</v>
      </c>
      <c r="J82" s="303">
        <f>'[2]CDCM Volume Forecasts'!J82</f>
        <v>0</v>
      </c>
      <c r="K82" s="303">
        <f t="shared" si="3"/>
        <v>0</v>
      </c>
      <c r="L82" s="303">
        <f t="shared" si="4"/>
        <v>0</v>
      </c>
      <c r="M82" s="303">
        <f t="shared" si="5"/>
        <v>0</v>
      </c>
      <c r="N82" s="303">
        <f t="shared" si="6"/>
        <v>0</v>
      </c>
      <c r="O82" s="303">
        <f t="shared" si="7"/>
        <v>0</v>
      </c>
      <c r="P82" s="303"/>
      <c r="Q82" s="303"/>
      <c r="R82" s="303">
        <f t="shared" si="8"/>
        <v>0</v>
      </c>
      <c r="S82" s="303">
        <f t="shared" si="9"/>
        <v>0</v>
      </c>
      <c r="T82" s="303">
        <f t="shared" si="10"/>
        <v>0</v>
      </c>
      <c r="U82" s="303">
        <f t="shared" si="11"/>
        <v>0</v>
      </c>
      <c r="V82" s="303">
        <f t="shared" si="12"/>
        <v>0</v>
      </c>
      <c r="W82" s="303"/>
      <c r="X82" s="303"/>
      <c r="Y82" s="303">
        <f t="shared" si="13"/>
        <v>0</v>
      </c>
      <c r="Z82" s="303">
        <f t="shared" si="14"/>
        <v>0</v>
      </c>
      <c r="AA82" s="303">
        <f t="shared" si="15"/>
        <v>0</v>
      </c>
      <c r="AB82" s="303">
        <f t="shared" si="16"/>
        <v>0</v>
      </c>
      <c r="AC82" s="303">
        <f t="shared" si="17"/>
        <v>0</v>
      </c>
      <c r="AD82" s="303"/>
      <c r="AE82" s="303"/>
      <c r="AF82" s="303">
        <f t="shared" si="18"/>
        <v>0</v>
      </c>
      <c r="AG82" s="303">
        <f t="shared" si="19"/>
        <v>0</v>
      </c>
      <c r="AH82" s="303">
        <f t="shared" si="20"/>
        <v>0</v>
      </c>
      <c r="AI82" s="303">
        <f t="shared" si="21"/>
        <v>0</v>
      </c>
      <c r="AJ82" s="303">
        <f t="shared" si="22"/>
        <v>0</v>
      </c>
      <c r="AK82" s="303"/>
      <c r="AL82" s="303"/>
    </row>
    <row r="83" spans="1:38" ht="15">
      <c r="A83" s="26">
        <f t="shared" si="2"/>
        <v>56</v>
      </c>
      <c r="B83" s="171">
        <v>1</v>
      </c>
      <c r="C83" s="260" t="s">
        <v>94</v>
      </c>
      <c r="D83" s="304">
        <f>'[2]CDCM Volume Forecasts'!D83</f>
        <v>7712.9716131438981</v>
      </c>
      <c r="E83" s="305">
        <f>'[2]CDCM Volume Forecasts'!E83</f>
        <v>0</v>
      </c>
      <c r="F83" s="305">
        <f>'[2]CDCM Volume Forecasts'!F83</f>
        <v>0</v>
      </c>
      <c r="G83" s="304">
        <f>'[2]CDCM Volume Forecasts'!G83</f>
        <v>689</v>
      </c>
      <c r="H83" s="305">
        <f>'[2]CDCM Volume Forecasts'!H83</f>
        <v>0</v>
      </c>
      <c r="I83" s="305">
        <f>'[2]CDCM Volume Forecasts'!I83</f>
        <v>0</v>
      </c>
      <c r="J83" s="305">
        <f>'[2]CDCM Volume Forecasts'!J83</f>
        <v>0</v>
      </c>
      <c r="K83" s="304">
        <f t="shared" si="3"/>
        <v>7712.9716131438981</v>
      </c>
      <c r="L83" s="305">
        <f t="shared" si="4"/>
        <v>0</v>
      </c>
      <c r="M83" s="305">
        <f t="shared" si="5"/>
        <v>0</v>
      </c>
      <c r="N83" s="304">
        <f t="shared" si="6"/>
        <v>689</v>
      </c>
      <c r="O83" s="305">
        <f t="shared" si="7"/>
        <v>0</v>
      </c>
      <c r="P83" s="305"/>
      <c r="Q83" s="305"/>
      <c r="R83" s="304">
        <f t="shared" si="8"/>
        <v>7712.9716131438981</v>
      </c>
      <c r="S83" s="305">
        <f t="shared" si="9"/>
        <v>0</v>
      </c>
      <c r="T83" s="305">
        <f t="shared" si="10"/>
        <v>0</v>
      </c>
      <c r="U83" s="304">
        <f t="shared" si="11"/>
        <v>689</v>
      </c>
      <c r="V83" s="305">
        <f t="shared" si="12"/>
        <v>0</v>
      </c>
      <c r="W83" s="305"/>
      <c r="X83" s="305"/>
      <c r="Y83" s="304">
        <f t="shared" si="13"/>
        <v>7712.9716131438981</v>
      </c>
      <c r="Z83" s="305">
        <f t="shared" si="14"/>
        <v>0</v>
      </c>
      <c r="AA83" s="305">
        <f t="shared" si="15"/>
        <v>0</v>
      </c>
      <c r="AB83" s="304">
        <f t="shared" si="16"/>
        <v>689</v>
      </c>
      <c r="AC83" s="305">
        <f t="shared" si="17"/>
        <v>0</v>
      </c>
      <c r="AD83" s="305"/>
      <c r="AE83" s="305"/>
      <c r="AF83" s="304">
        <f t="shared" si="18"/>
        <v>7712.9716131438981</v>
      </c>
      <c r="AG83" s="305">
        <f t="shared" si="19"/>
        <v>0</v>
      </c>
      <c r="AH83" s="305">
        <f t="shared" si="20"/>
        <v>0</v>
      </c>
      <c r="AI83" s="304">
        <f t="shared" si="21"/>
        <v>689</v>
      </c>
      <c r="AJ83" s="305">
        <f t="shared" si="22"/>
        <v>0</v>
      </c>
      <c r="AK83" s="305"/>
      <c r="AL83" s="305"/>
    </row>
    <row r="84" spans="1:38" ht="15">
      <c r="A84" s="26">
        <f t="shared" si="2"/>
        <v>57</v>
      </c>
      <c r="B84" s="171">
        <v>1</v>
      </c>
      <c r="C84" s="260" t="s">
        <v>142</v>
      </c>
      <c r="D84" s="304">
        <f>'[2]CDCM Volume Forecasts'!D84</f>
        <v>75.667019508620697</v>
      </c>
      <c r="E84" s="305">
        <f>'[2]CDCM Volume Forecasts'!E84</f>
        <v>0</v>
      </c>
      <c r="F84" s="305">
        <f>'[2]CDCM Volume Forecasts'!F84</f>
        <v>0</v>
      </c>
      <c r="G84" s="304">
        <f>'[2]CDCM Volume Forecasts'!G84</f>
        <v>0</v>
      </c>
      <c r="H84" s="305">
        <f>'[2]CDCM Volume Forecasts'!H84</f>
        <v>0</v>
      </c>
      <c r="I84" s="305">
        <f>'[2]CDCM Volume Forecasts'!I84</f>
        <v>0</v>
      </c>
      <c r="J84" s="305">
        <f>'[2]CDCM Volume Forecasts'!J84</f>
        <v>0</v>
      </c>
      <c r="K84" s="304">
        <f t="shared" si="3"/>
        <v>75.667019508620697</v>
      </c>
      <c r="L84" s="305">
        <f t="shared" si="4"/>
        <v>0</v>
      </c>
      <c r="M84" s="305">
        <f t="shared" si="5"/>
        <v>0</v>
      </c>
      <c r="N84" s="304">
        <f t="shared" si="6"/>
        <v>0</v>
      </c>
      <c r="O84" s="305">
        <f t="shared" si="7"/>
        <v>0</v>
      </c>
      <c r="P84" s="305"/>
      <c r="Q84" s="305"/>
      <c r="R84" s="304">
        <f t="shared" si="8"/>
        <v>75.667019508620697</v>
      </c>
      <c r="S84" s="305">
        <f t="shared" si="9"/>
        <v>0</v>
      </c>
      <c r="T84" s="305">
        <f t="shared" si="10"/>
        <v>0</v>
      </c>
      <c r="U84" s="304">
        <f t="shared" si="11"/>
        <v>0</v>
      </c>
      <c r="V84" s="305">
        <f t="shared" si="12"/>
        <v>0</v>
      </c>
      <c r="W84" s="305"/>
      <c r="X84" s="305"/>
      <c r="Y84" s="304">
        <f t="shared" si="13"/>
        <v>75.667019508620697</v>
      </c>
      <c r="Z84" s="305">
        <f t="shared" si="14"/>
        <v>0</v>
      </c>
      <c r="AA84" s="305">
        <f t="shared" si="15"/>
        <v>0</v>
      </c>
      <c r="AB84" s="304">
        <f t="shared" si="16"/>
        <v>0</v>
      </c>
      <c r="AC84" s="305">
        <f t="shared" si="17"/>
        <v>0</v>
      </c>
      <c r="AD84" s="305"/>
      <c r="AE84" s="305"/>
      <c r="AF84" s="304">
        <f t="shared" si="18"/>
        <v>75.667019508620697</v>
      </c>
      <c r="AG84" s="305">
        <f t="shared" si="19"/>
        <v>0</v>
      </c>
      <c r="AH84" s="305">
        <f t="shared" si="20"/>
        <v>0</v>
      </c>
      <c r="AI84" s="304">
        <f t="shared" si="21"/>
        <v>0</v>
      </c>
      <c r="AJ84" s="305">
        <f t="shared" si="22"/>
        <v>0</v>
      </c>
      <c r="AK84" s="305"/>
      <c r="AL84" s="305"/>
    </row>
    <row r="85" spans="1:38" ht="15">
      <c r="A85" s="26">
        <f t="shared" si="2"/>
        <v>58</v>
      </c>
      <c r="B85" s="171">
        <v>1</v>
      </c>
      <c r="C85" s="260" t="s">
        <v>143</v>
      </c>
      <c r="D85" s="304">
        <f>'[2]CDCM Volume Forecasts'!D85</f>
        <v>301.33748599137931</v>
      </c>
      <c r="E85" s="305">
        <f>'[2]CDCM Volume Forecasts'!E85</f>
        <v>0</v>
      </c>
      <c r="F85" s="305">
        <f>'[2]CDCM Volume Forecasts'!F85</f>
        <v>0</v>
      </c>
      <c r="G85" s="304">
        <f>'[2]CDCM Volume Forecasts'!G85</f>
        <v>0</v>
      </c>
      <c r="H85" s="305">
        <f>'[2]CDCM Volume Forecasts'!H85</f>
        <v>0</v>
      </c>
      <c r="I85" s="305">
        <f>'[2]CDCM Volume Forecasts'!I85</f>
        <v>0</v>
      </c>
      <c r="J85" s="305">
        <f>'[2]CDCM Volume Forecasts'!J85</f>
        <v>0</v>
      </c>
      <c r="K85" s="304">
        <f t="shared" si="3"/>
        <v>301.33748599137931</v>
      </c>
      <c r="L85" s="305">
        <f t="shared" si="4"/>
        <v>0</v>
      </c>
      <c r="M85" s="305">
        <f t="shared" si="5"/>
        <v>0</v>
      </c>
      <c r="N85" s="304">
        <f t="shared" si="6"/>
        <v>0</v>
      </c>
      <c r="O85" s="305">
        <f t="shared" si="7"/>
        <v>0</v>
      </c>
      <c r="P85" s="305"/>
      <c r="Q85" s="305"/>
      <c r="R85" s="304">
        <f t="shared" si="8"/>
        <v>301.33748599137931</v>
      </c>
      <c r="S85" s="305">
        <f t="shared" si="9"/>
        <v>0</v>
      </c>
      <c r="T85" s="305">
        <f t="shared" si="10"/>
        <v>0</v>
      </c>
      <c r="U85" s="304">
        <f t="shared" si="11"/>
        <v>0</v>
      </c>
      <c r="V85" s="305">
        <f t="shared" si="12"/>
        <v>0</v>
      </c>
      <c r="W85" s="305"/>
      <c r="X85" s="305"/>
      <c r="Y85" s="304">
        <f t="shared" si="13"/>
        <v>301.33748599137931</v>
      </c>
      <c r="Z85" s="305">
        <f t="shared" si="14"/>
        <v>0</v>
      </c>
      <c r="AA85" s="305">
        <f t="shared" si="15"/>
        <v>0</v>
      </c>
      <c r="AB85" s="304">
        <f t="shared" si="16"/>
        <v>0</v>
      </c>
      <c r="AC85" s="305">
        <f t="shared" si="17"/>
        <v>0</v>
      </c>
      <c r="AD85" s="305"/>
      <c r="AE85" s="305"/>
      <c r="AF85" s="304">
        <f t="shared" si="18"/>
        <v>301.33748599137931</v>
      </c>
      <c r="AG85" s="305">
        <f t="shared" si="19"/>
        <v>0</v>
      </c>
      <c r="AH85" s="305">
        <f t="shared" si="20"/>
        <v>0</v>
      </c>
      <c r="AI85" s="304">
        <f t="shared" si="21"/>
        <v>0</v>
      </c>
      <c r="AJ85" s="305">
        <f t="shared" si="22"/>
        <v>0</v>
      </c>
      <c r="AK85" s="305"/>
      <c r="AL85" s="305"/>
    </row>
    <row r="86" spans="1:38" ht="15">
      <c r="A86" s="26">
        <f t="shared" si="2"/>
        <v>59</v>
      </c>
      <c r="B86" s="171"/>
      <c r="C86" s="259" t="s">
        <v>144</v>
      </c>
      <c r="D86" s="303">
        <f>'[2]CDCM Volume Forecasts'!D86</f>
        <v>0</v>
      </c>
      <c r="E86" s="303">
        <f>'[2]CDCM Volume Forecasts'!E86</f>
        <v>0</v>
      </c>
      <c r="F86" s="303">
        <f>'[2]CDCM Volume Forecasts'!F86</f>
        <v>0</v>
      </c>
      <c r="G86" s="303">
        <f>'[2]CDCM Volume Forecasts'!G86</f>
        <v>0</v>
      </c>
      <c r="H86" s="303">
        <f>'[2]CDCM Volume Forecasts'!H86</f>
        <v>0</v>
      </c>
      <c r="I86" s="303">
        <f>'[2]CDCM Volume Forecasts'!I86</f>
        <v>0</v>
      </c>
      <c r="J86" s="303">
        <f>'[2]CDCM Volume Forecasts'!J86</f>
        <v>0</v>
      </c>
      <c r="K86" s="303">
        <f t="shared" si="3"/>
        <v>0</v>
      </c>
      <c r="L86" s="303">
        <f t="shared" si="4"/>
        <v>0</v>
      </c>
      <c r="M86" s="303">
        <f t="shared" si="5"/>
        <v>0</v>
      </c>
      <c r="N86" s="303">
        <f t="shared" si="6"/>
        <v>0</v>
      </c>
      <c r="O86" s="303">
        <f t="shared" si="7"/>
        <v>0</v>
      </c>
      <c r="P86" s="303"/>
      <c r="Q86" s="303"/>
      <c r="R86" s="303">
        <f t="shared" si="8"/>
        <v>0</v>
      </c>
      <c r="S86" s="303">
        <f t="shared" si="9"/>
        <v>0</v>
      </c>
      <c r="T86" s="303">
        <f t="shared" si="10"/>
        <v>0</v>
      </c>
      <c r="U86" s="303">
        <f t="shared" si="11"/>
        <v>0</v>
      </c>
      <c r="V86" s="303">
        <f t="shared" si="12"/>
        <v>0</v>
      </c>
      <c r="W86" s="303"/>
      <c r="X86" s="303"/>
      <c r="Y86" s="303">
        <f t="shared" si="13"/>
        <v>0</v>
      </c>
      <c r="Z86" s="303">
        <f t="shared" si="14"/>
        <v>0</v>
      </c>
      <c r="AA86" s="303">
        <f t="shared" si="15"/>
        <v>0</v>
      </c>
      <c r="AB86" s="303">
        <f t="shared" si="16"/>
        <v>0</v>
      </c>
      <c r="AC86" s="303">
        <f t="shared" si="17"/>
        <v>0</v>
      </c>
      <c r="AD86" s="303"/>
      <c r="AE86" s="303"/>
      <c r="AF86" s="303">
        <f t="shared" si="18"/>
        <v>0</v>
      </c>
      <c r="AG86" s="303">
        <f t="shared" si="19"/>
        <v>0</v>
      </c>
      <c r="AH86" s="303">
        <f t="shared" si="20"/>
        <v>0</v>
      </c>
      <c r="AI86" s="303">
        <f t="shared" si="21"/>
        <v>0</v>
      </c>
      <c r="AJ86" s="303">
        <f t="shared" si="22"/>
        <v>0</v>
      </c>
      <c r="AK86" s="303"/>
      <c r="AL86" s="303"/>
    </row>
    <row r="87" spans="1:38" ht="15">
      <c r="A87" s="26">
        <f t="shared" si="2"/>
        <v>60</v>
      </c>
      <c r="B87" s="171">
        <v>1</v>
      </c>
      <c r="C87" s="260" t="s">
        <v>95</v>
      </c>
      <c r="D87" s="304">
        <f>'[2]CDCM Volume Forecasts'!D87</f>
        <v>989.1872895940935</v>
      </c>
      <c r="E87" s="305">
        <f>'[2]CDCM Volume Forecasts'!E87</f>
        <v>0</v>
      </c>
      <c r="F87" s="305">
        <f>'[2]CDCM Volume Forecasts'!F87</f>
        <v>0</v>
      </c>
      <c r="G87" s="304">
        <f>'[2]CDCM Volume Forecasts'!G87</f>
        <v>179</v>
      </c>
      <c r="H87" s="305">
        <f>'[2]CDCM Volume Forecasts'!H87</f>
        <v>0</v>
      </c>
      <c r="I87" s="305">
        <f>'[2]CDCM Volume Forecasts'!I87</f>
        <v>0</v>
      </c>
      <c r="J87" s="305">
        <f>'[2]CDCM Volume Forecasts'!J87</f>
        <v>0</v>
      </c>
      <c r="K87" s="304">
        <f t="shared" si="3"/>
        <v>989.1872895940935</v>
      </c>
      <c r="L87" s="305">
        <f t="shared" si="4"/>
        <v>0</v>
      </c>
      <c r="M87" s="305">
        <f t="shared" si="5"/>
        <v>0</v>
      </c>
      <c r="N87" s="304">
        <f t="shared" si="6"/>
        <v>179</v>
      </c>
      <c r="O87" s="305">
        <f t="shared" si="7"/>
        <v>0</v>
      </c>
      <c r="P87" s="305"/>
      <c r="Q87" s="305"/>
      <c r="R87" s="304">
        <f t="shared" si="8"/>
        <v>989.1872895940935</v>
      </c>
      <c r="S87" s="305">
        <f t="shared" si="9"/>
        <v>0</v>
      </c>
      <c r="T87" s="305">
        <f t="shared" si="10"/>
        <v>0</v>
      </c>
      <c r="U87" s="304">
        <f t="shared" si="11"/>
        <v>179</v>
      </c>
      <c r="V87" s="305">
        <f t="shared" si="12"/>
        <v>0</v>
      </c>
      <c r="W87" s="305"/>
      <c r="X87" s="305"/>
      <c r="Y87" s="304">
        <f t="shared" si="13"/>
        <v>989.1872895940935</v>
      </c>
      <c r="Z87" s="305">
        <f t="shared" si="14"/>
        <v>0</v>
      </c>
      <c r="AA87" s="305">
        <f t="shared" si="15"/>
        <v>0</v>
      </c>
      <c r="AB87" s="304">
        <f t="shared" si="16"/>
        <v>179</v>
      </c>
      <c r="AC87" s="305">
        <f t="shared" si="17"/>
        <v>0</v>
      </c>
      <c r="AD87" s="305"/>
      <c r="AE87" s="305"/>
      <c r="AF87" s="304">
        <f t="shared" si="18"/>
        <v>989.1872895940935</v>
      </c>
      <c r="AG87" s="305">
        <f t="shared" si="19"/>
        <v>0</v>
      </c>
      <c r="AH87" s="305">
        <f t="shared" si="20"/>
        <v>0</v>
      </c>
      <c r="AI87" s="304">
        <f t="shared" si="21"/>
        <v>179</v>
      </c>
      <c r="AJ87" s="305">
        <f t="shared" si="22"/>
        <v>0</v>
      </c>
      <c r="AK87" s="305"/>
      <c r="AL87" s="305"/>
    </row>
    <row r="88" spans="1:38" ht="15">
      <c r="A88" s="26">
        <f t="shared" si="2"/>
        <v>61</v>
      </c>
      <c r="B88" s="171">
        <v>1</v>
      </c>
      <c r="C88" s="260" t="s">
        <v>145</v>
      </c>
      <c r="D88" s="304">
        <f>'[2]CDCM Volume Forecasts'!D88</f>
        <v>5.1353499568965537</v>
      </c>
      <c r="E88" s="305">
        <f>'[2]CDCM Volume Forecasts'!E88</f>
        <v>0</v>
      </c>
      <c r="F88" s="305">
        <f>'[2]CDCM Volume Forecasts'!F88</f>
        <v>0</v>
      </c>
      <c r="G88" s="304">
        <f>'[2]CDCM Volume Forecasts'!G88</f>
        <v>0</v>
      </c>
      <c r="H88" s="305">
        <f>'[2]CDCM Volume Forecasts'!H88</f>
        <v>0</v>
      </c>
      <c r="I88" s="305">
        <f>'[2]CDCM Volume Forecasts'!I88</f>
        <v>0</v>
      </c>
      <c r="J88" s="305">
        <f>'[2]CDCM Volume Forecasts'!J88</f>
        <v>0</v>
      </c>
      <c r="K88" s="304">
        <f t="shared" si="3"/>
        <v>5.1353499568965537</v>
      </c>
      <c r="L88" s="305">
        <f t="shared" si="4"/>
        <v>0</v>
      </c>
      <c r="M88" s="305">
        <f t="shared" si="5"/>
        <v>0</v>
      </c>
      <c r="N88" s="304">
        <f t="shared" si="6"/>
        <v>0</v>
      </c>
      <c r="O88" s="305">
        <f t="shared" si="7"/>
        <v>0</v>
      </c>
      <c r="P88" s="305"/>
      <c r="Q88" s="305"/>
      <c r="R88" s="304">
        <f t="shared" si="8"/>
        <v>5.1353499568965537</v>
      </c>
      <c r="S88" s="305">
        <f t="shared" si="9"/>
        <v>0</v>
      </c>
      <c r="T88" s="305">
        <f t="shared" si="10"/>
        <v>0</v>
      </c>
      <c r="U88" s="304">
        <f t="shared" si="11"/>
        <v>0</v>
      </c>
      <c r="V88" s="305">
        <f t="shared" si="12"/>
        <v>0</v>
      </c>
      <c r="W88" s="305"/>
      <c r="X88" s="305"/>
      <c r="Y88" s="304">
        <f t="shared" si="13"/>
        <v>5.1353499568965537</v>
      </c>
      <c r="Z88" s="305">
        <f t="shared" si="14"/>
        <v>0</v>
      </c>
      <c r="AA88" s="305">
        <f t="shared" si="15"/>
        <v>0</v>
      </c>
      <c r="AB88" s="304">
        <f t="shared" si="16"/>
        <v>0</v>
      </c>
      <c r="AC88" s="305">
        <f t="shared" si="17"/>
        <v>0</v>
      </c>
      <c r="AD88" s="305"/>
      <c r="AE88" s="305"/>
      <c r="AF88" s="304">
        <f t="shared" si="18"/>
        <v>5.1353499568965537</v>
      </c>
      <c r="AG88" s="305">
        <f t="shared" si="19"/>
        <v>0</v>
      </c>
      <c r="AH88" s="305">
        <f t="shared" si="20"/>
        <v>0</v>
      </c>
      <c r="AI88" s="304">
        <f t="shared" si="21"/>
        <v>0</v>
      </c>
      <c r="AJ88" s="305">
        <f t="shared" si="22"/>
        <v>0</v>
      </c>
      <c r="AK88" s="305"/>
      <c r="AL88" s="305"/>
    </row>
    <row r="89" spans="1:38" ht="15">
      <c r="A89" s="26">
        <f t="shared" si="2"/>
        <v>62</v>
      </c>
      <c r="B89" s="171">
        <v>1</v>
      </c>
      <c r="C89" s="260" t="s">
        <v>146</v>
      </c>
      <c r="D89" s="304">
        <f>'[2]CDCM Volume Forecasts'!D89</f>
        <v>2.9883946810344835</v>
      </c>
      <c r="E89" s="305">
        <f>'[2]CDCM Volume Forecasts'!E89</f>
        <v>0</v>
      </c>
      <c r="F89" s="305">
        <f>'[2]CDCM Volume Forecasts'!F89</f>
        <v>0</v>
      </c>
      <c r="G89" s="304">
        <f>'[2]CDCM Volume Forecasts'!G89</f>
        <v>0</v>
      </c>
      <c r="H89" s="305">
        <f>'[2]CDCM Volume Forecasts'!H89</f>
        <v>0</v>
      </c>
      <c r="I89" s="305">
        <f>'[2]CDCM Volume Forecasts'!I89</f>
        <v>0</v>
      </c>
      <c r="J89" s="305">
        <f>'[2]CDCM Volume Forecasts'!J89</f>
        <v>0</v>
      </c>
      <c r="K89" s="304">
        <f t="shared" si="3"/>
        <v>2.9883946810344835</v>
      </c>
      <c r="L89" s="305">
        <f t="shared" si="4"/>
        <v>0</v>
      </c>
      <c r="M89" s="305">
        <f t="shared" si="5"/>
        <v>0</v>
      </c>
      <c r="N89" s="304">
        <f t="shared" si="6"/>
        <v>0</v>
      </c>
      <c r="O89" s="305">
        <f t="shared" si="7"/>
        <v>0</v>
      </c>
      <c r="P89" s="305"/>
      <c r="Q89" s="305"/>
      <c r="R89" s="304">
        <f t="shared" si="8"/>
        <v>2.9883946810344835</v>
      </c>
      <c r="S89" s="305">
        <f t="shared" si="9"/>
        <v>0</v>
      </c>
      <c r="T89" s="305">
        <f t="shared" si="10"/>
        <v>0</v>
      </c>
      <c r="U89" s="304">
        <f t="shared" si="11"/>
        <v>0</v>
      </c>
      <c r="V89" s="305">
        <f t="shared" si="12"/>
        <v>0</v>
      </c>
      <c r="W89" s="305"/>
      <c r="X89" s="305"/>
      <c r="Y89" s="304">
        <f t="shared" si="13"/>
        <v>2.9883946810344835</v>
      </c>
      <c r="Z89" s="305">
        <f t="shared" si="14"/>
        <v>0</v>
      </c>
      <c r="AA89" s="305">
        <f t="shared" si="15"/>
        <v>0</v>
      </c>
      <c r="AB89" s="304">
        <f t="shared" si="16"/>
        <v>0</v>
      </c>
      <c r="AC89" s="305">
        <f t="shared" si="17"/>
        <v>0</v>
      </c>
      <c r="AD89" s="305"/>
      <c r="AE89" s="305"/>
      <c r="AF89" s="304">
        <f t="shared" si="18"/>
        <v>2.9883946810344835</v>
      </c>
      <c r="AG89" s="305">
        <f t="shared" si="19"/>
        <v>0</v>
      </c>
      <c r="AH89" s="305">
        <f t="shared" si="20"/>
        <v>0</v>
      </c>
      <c r="AI89" s="304">
        <f t="shared" si="21"/>
        <v>0</v>
      </c>
      <c r="AJ89" s="305">
        <f t="shared" si="22"/>
        <v>0</v>
      </c>
      <c r="AK89" s="305"/>
      <c r="AL89" s="305"/>
    </row>
    <row r="90" spans="1:38" ht="15">
      <c r="A90" s="26">
        <f t="shared" si="2"/>
        <v>63</v>
      </c>
      <c r="B90" s="171"/>
      <c r="C90" s="259" t="s">
        <v>147</v>
      </c>
      <c r="D90" s="303">
        <f>'[2]CDCM Volume Forecasts'!D90</f>
        <v>0</v>
      </c>
      <c r="E90" s="303">
        <f>'[2]CDCM Volume Forecasts'!E90</f>
        <v>0</v>
      </c>
      <c r="F90" s="303">
        <f>'[2]CDCM Volume Forecasts'!F90</f>
        <v>0</v>
      </c>
      <c r="G90" s="303">
        <f>'[2]CDCM Volume Forecasts'!G90</f>
        <v>0</v>
      </c>
      <c r="H90" s="303">
        <f>'[2]CDCM Volume Forecasts'!H90</f>
        <v>0</v>
      </c>
      <c r="I90" s="303">
        <f>'[2]CDCM Volume Forecasts'!I90</f>
        <v>0</v>
      </c>
      <c r="J90" s="303">
        <f>'[2]CDCM Volume Forecasts'!J90</f>
        <v>0</v>
      </c>
      <c r="K90" s="303">
        <f t="shared" si="3"/>
        <v>0</v>
      </c>
      <c r="L90" s="303">
        <f t="shared" si="4"/>
        <v>0</v>
      </c>
      <c r="M90" s="303">
        <f t="shared" si="5"/>
        <v>0</v>
      </c>
      <c r="N90" s="303">
        <f t="shared" si="6"/>
        <v>0</v>
      </c>
      <c r="O90" s="303">
        <f t="shared" si="7"/>
        <v>0</v>
      </c>
      <c r="P90" s="303"/>
      <c r="Q90" s="303"/>
      <c r="R90" s="303">
        <f t="shared" si="8"/>
        <v>0</v>
      </c>
      <c r="S90" s="303">
        <f t="shared" si="9"/>
        <v>0</v>
      </c>
      <c r="T90" s="303">
        <f t="shared" si="10"/>
        <v>0</v>
      </c>
      <c r="U90" s="303">
        <f t="shared" si="11"/>
        <v>0</v>
      </c>
      <c r="V90" s="303">
        <f t="shared" si="12"/>
        <v>0</v>
      </c>
      <c r="W90" s="303"/>
      <c r="X90" s="303"/>
      <c r="Y90" s="303">
        <f t="shared" si="13"/>
        <v>0</v>
      </c>
      <c r="Z90" s="303">
        <f t="shared" si="14"/>
        <v>0</v>
      </c>
      <c r="AA90" s="303">
        <f t="shared" si="15"/>
        <v>0</v>
      </c>
      <c r="AB90" s="303">
        <f t="shared" si="16"/>
        <v>0</v>
      </c>
      <c r="AC90" s="303">
        <f t="shared" si="17"/>
        <v>0</v>
      </c>
      <c r="AD90" s="303"/>
      <c r="AE90" s="303"/>
      <c r="AF90" s="303">
        <f t="shared" si="18"/>
        <v>0</v>
      </c>
      <c r="AG90" s="303">
        <f t="shared" si="19"/>
        <v>0</v>
      </c>
      <c r="AH90" s="303">
        <f t="shared" si="20"/>
        <v>0</v>
      </c>
      <c r="AI90" s="303">
        <f t="shared" si="21"/>
        <v>0</v>
      </c>
      <c r="AJ90" s="303">
        <f t="shared" si="22"/>
        <v>0</v>
      </c>
      <c r="AK90" s="303"/>
      <c r="AL90" s="303"/>
    </row>
    <row r="91" spans="1:38" ht="15">
      <c r="A91" s="26">
        <f t="shared" si="2"/>
        <v>64</v>
      </c>
      <c r="B91" s="171">
        <v>1</v>
      </c>
      <c r="C91" s="260" t="s">
        <v>96</v>
      </c>
      <c r="D91" s="304">
        <f>'[2]CDCM Volume Forecasts'!D91</f>
        <v>0</v>
      </c>
      <c r="E91" s="305">
        <f>'[2]CDCM Volume Forecasts'!E91</f>
        <v>0</v>
      </c>
      <c r="F91" s="305">
        <f>'[2]CDCM Volume Forecasts'!F91</f>
        <v>0</v>
      </c>
      <c r="G91" s="304">
        <f>'[2]CDCM Volume Forecasts'!G91</f>
        <v>1</v>
      </c>
      <c r="H91" s="305">
        <f>'[2]CDCM Volume Forecasts'!H91</f>
        <v>0</v>
      </c>
      <c r="I91" s="305">
        <f>'[2]CDCM Volume Forecasts'!I91</f>
        <v>0</v>
      </c>
      <c r="J91" s="305">
        <f>'[2]CDCM Volume Forecasts'!J91</f>
        <v>0</v>
      </c>
      <c r="K91" s="304">
        <f t="shared" si="3"/>
        <v>0</v>
      </c>
      <c r="L91" s="305">
        <f t="shared" si="4"/>
        <v>0</v>
      </c>
      <c r="M91" s="305">
        <f t="shared" si="5"/>
        <v>0</v>
      </c>
      <c r="N91" s="304">
        <f t="shared" si="6"/>
        <v>1</v>
      </c>
      <c r="O91" s="305">
        <f t="shared" si="7"/>
        <v>0</v>
      </c>
      <c r="P91" s="305"/>
      <c r="Q91" s="305"/>
      <c r="R91" s="304">
        <f t="shared" si="8"/>
        <v>0</v>
      </c>
      <c r="S91" s="305">
        <f t="shared" si="9"/>
        <v>0</v>
      </c>
      <c r="T91" s="305">
        <f t="shared" si="10"/>
        <v>0</v>
      </c>
      <c r="U91" s="304">
        <f t="shared" si="11"/>
        <v>1</v>
      </c>
      <c r="V91" s="305">
        <f t="shared" si="12"/>
        <v>0</v>
      </c>
      <c r="W91" s="305"/>
      <c r="X91" s="305"/>
      <c r="Y91" s="304">
        <f t="shared" si="13"/>
        <v>0</v>
      </c>
      <c r="Z91" s="305">
        <f t="shared" si="14"/>
        <v>0</v>
      </c>
      <c r="AA91" s="305">
        <f t="shared" si="15"/>
        <v>0</v>
      </c>
      <c r="AB91" s="304">
        <f t="shared" si="16"/>
        <v>1</v>
      </c>
      <c r="AC91" s="305">
        <f t="shared" si="17"/>
        <v>0</v>
      </c>
      <c r="AD91" s="305"/>
      <c r="AE91" s="305"/>
      <c r="AF91" s="304">
        <f t="shared" si="18"/>
        <v>0</v>
      </c>
      <c r="AG91" s="305">
        <f t="shared" si="19"/>
        <v>0</v>
      </c>
      <c r="AH91" s="305">
        <f t="shared" si="20"/>
        <v>0</v>
      </c>
      <c r="AI91" s="304">
        <f t="shared" si="21"/>
        <v>1</v>
      </c>
      <c r="AJ91" s="305">
        <f t="shared" si="22"/>
        <v>0</v>
      </c>
      <c r="AK91" s="305"/>
      <c r="AL91" s="305"/>
    </row>
    <row r="92" spans="1:38" ht="15">
      <c r="A92" s="26">
        <f t="shared" si="2"/>
        <v>65</v>
      </c>
      <c r="B92" s="171">
        <v>1</v>
      </c>
      <c r="C92" s="260" t="s">
        <v>148</v>
      </c>
      <c r="D92" s="304">
        <f>'[2]CDCM Volume Forecasts'!D92</f>
        <v>0</v>
      </c>
      <c r="E92" s="305">
        <f>'[2]CDCM Volume Forecasts'!E92</f>
        <v>0</v>
      </c>
      <c r="F92" s="305">
        <f>'[2]CDCM Volume Forecasts'!F92</f>
        <v>0</v>
      </c>
      <c r="G92" s="304">
        <f>'[2]CDCM Volume Forecasts'!G92</f>
        <v>0</v>
      </c>
      <c r="H92" s="305">
        <f>'[2]CDCM Volume Forecasts'!H92</f>
        <v>0</v>
      </c>
      <c r="I92" s="305">
        <f>'[2]CDCM Volume Forecasts'!I92</f>
        <v>0</v>
      </c>
      <c r="J92" s="305">
        <f>'[2]CDCM Volume Forecasts'!J92</f>
        <v>0</v>
      </c>
      <c r="K92" s="304">
        <f t="shared" si="3"/>
        <v>0</v>
      </c>
      <c r="L92" s="305">
        <f t="shared" si="4"/>
        <v>0</v>
      </c>
      <c r="M92" s="305">
        <f t="shared" si="5"/>
        <v>0</v>
      </c>
      <c r="N92" s="304">
        <f t="shared" si="6"/>
        <v>0</v>
      </c>
      <c r="O92" s="305">
        <f t="shared" si="7"/>
        <v>0</v>
      </c>
      <c r="P92" s="305"/>
      <c r="Q92" s="305"/>
      <c r="R92" s="304">
        <f t="shared" si="8"/>
        <v>0</v>
      </c>
      <c r="S92" s="305">
        <f t="shared" si="9"/>
        <v>0</v>
      </c>
      <c r="T92" s="305">
        <f t="shared" si="10"/>
        <v>0</v>
      </c>
      <c r="U92" s="304">
        <f t="shared" si="11"/>
        <v>0</v>
      </c>
      <c r="V92" s="305">
        <f t="shared" si="12"/>
        <v>0</v>
      </c>
      <c r="W92" s="305"/>
      <c r="X92" s="305"/>
      <c r="Y92" s="304">
        <f t="shared" si="13"/>
        <v>0</v>
      </c>
      <c r="Z92" s="305">
        <f t="shared" si="14"/>
        <v>0</v>
      </c>
      <c r="AA92" s="305">
        <f t="shared" si="15"/>
        <v>0</v>
      </c>
      <c r="AB92" s="304">
        <f t="shared" si="16"/>
        <v>0</v>
      </c>
      <c r="AC92" s="305">
        <f t="shared" si="17"/>
        <v>0</v>
      </c>
      <c r="AD92" s="305"/>
      <c r="AE92" s="305"/>
      <c r="AF92" s="304">
        <f t="shared" si="18"/>
        <v>0</v>
      </c>
      <c r="AG92" s="305">
        <f t="shared" si="19"/>
        <v>0</v>
      </c>
      <c r="AH92" s="305">
        <f t="shared" si="20"/>
        <v>0</v>
      </c>
      <c r="AI92" s="304">
        <f t="shared" si="21"/>
        <v>0</v>
      </c>
      <c r="AJ92" s="305">
        <f t="shared" si="22"/>
        <v>0</v>
      </c>
      <c r="AK92" s="305"/>
      <c r="AL92" s="305"/>
    </row>
    <row r="93" spans="1:38" ht="15">
      <c r="A93" s="26">
        <f t="shared" si="2"/>
        <v>66</v>
      </c>
      <c r="B93" s="171">
        <v>1</v>
      </c>
      <c r="C93" s="260" t="s">
        <v>149</v>
      </c>
      <c r="D93" s="304">
        <f>'[2]CDCM Volume Forecasts'!D93</f>
        <v>0</v>
      </c>
      <c r="E93" s="305">
        <f>'[2]CDCM Volume Forecasts'!E93</f>
        <v>0</v>
      </c>
      <c r="F93" s="305">
        <f>'[2]CDCM Volume Forecasts'!F93</f>
        <v>0</v>
      </c>
      <c r="G93" s="304">
        <f>'[2]CDCM Volume Forecasts'!G93</f>
        <v>0</v>
      </c>
      <c r="H93" s="305">
        <f>'[2]CDCM Volume Forecasts'!H93</f>
        <v>0</v>
      </c>
      <c r="I93" s="305">
        <f>'[2]CDCM Volume Forecasts'!I93</f>
        <v>0</v>
      </c>
      <c r="J93" s="305">
        <f>'[2]CDCM Volume Forecasts'!J93</f>
        <v>0</v>
      </c>
      <c r="K93" s="304">
        <f t="shared" si="3"/>
        <v>0</v>
      </c>
      <c r="L93" s="305">
        <f t="shared" si="4"/>
        <v>0</v>
      </c>
      <c r="M93" s="305">
        <f t="shared" si="5"/>
        <v>0</v>
      </c>
      <c r="N93" s="304">
        <f t="shared" si="6"/>
        <v>0</v>
      </c>
      <c r="O93" s="305">
        <f t="shared" si="7"/>
        <v>0</v>
      </c>
      <c r="P93" s="305"/>
      <c r="Q93" s="305"/>
      <c r="R93" s="304">
        <f t="shared" si="8"/>
        <v>0</v>
      </c>
      <c r="S93" s="305">
        <f t="shared" si="9"/>
        <v>0</v>
      </c>
      <c r="T93" s="305">
        <f t="shared" si="10"/>
        <v>0</v>
      </c>
      <c r="U93" s="304">
        <f t="shared" si="11"/>
        <v>0</v>
      </c>
      <c r="V93" s="305">
        <f t="shared" si="12"/>
        <v>0</v>
      </c>
      <c r="W93" s="305"/>
      <c r="X93" s="305"/>
      <c r="Y93" s="304">
        <f t="shared" si="13"/>
        <v>0</v>
      </c>
      <c r="Z93" s="305">
        <f t="shared" si="14"/>
        <v>0</v>
      </c>
      <c r="AA93" s="305">
        <f t="shared" si="15"/>
        <v>0</v>
      </c>
      <c r="AB93" s="304">
        <f t="shared" si="16"/>
        <v>0</v>
      </c>
      <c r="AC93" s="305">
        <f t="shared" si="17"/>
        <v>0</v>
      </c>
      <c r="AD93" s="305"/>
      <c r="AE93" s="305"/>
      <c r="AF93" s="304">
        <f t="shared" si="18"/>
        <v>0</v>
      </c>
      <c r="AG93" s="305">
        <f t="shared" si="19"/>
        <v>0</v>
      </c>
      <c r="AH93" s="305">
        <f t="shared" si="20"/>
        <v>0</v>
      </c>
      <c r="AI93" s="304">
        <f t="shared" si="21"/>
        <v>0</v>
      </c>
      <c r="AJ93" s="305">
        <f t="shared" si="22"/>
        <v>0</v>
      </c>
      <c r="AK93" s="305"/>
      <c r="AL93" s="305"/>
    </row>
    <row r="94" spans="1:38" ht="15">
      <c r="A94" s="26">
        <f t="shared" ref="A94:A136" si="43">A93+1</f>
        <v>67</v>
      </c>
      <c r="B94" s="171"/>
      <c r="C94" s="259" t="s">
        <v>150</v>
      </c>
      <c r="D94" s="303">
        <f>'[2]CDCM Volume Forecasts'!D94</f>
        <v>0</v>
      </c>
      <c r="E94" s="303">
        <f>'[2]CDCM Volume Forecasts'!E94</f>
        <v>0</v>
      </c>
      <c r="F94" s="303">
        <f>'[2]CDCM Volume Forecasts'!F94</f>
        <v>0</v>
      </c>
      <c r="G94" s="303">
        <f>'[2]CDCM Volume Forecasts'!G94</f>
        <v>0</v>
      </c>
      <c r="H94" s="303">
        <f>'[2]CDCM Volume Forecasts'!H94</f>
        <v>0</v>
      </c>
      <c r="I94" s="303">
        <f>'[2]CDCM Volume Forecasts'!I94</f>
        <v>0</v>
      </c>
      <c r="J94" s="303">
        <f>'[2]CDCM Volume Forecasts'!J94</f>
        <v>0</v>
      </c>
      <c r="K94" s="303">
        <f t="shared" ref="K94:K136" si="44">IF(D94,((VLOOKUP($B94,$E$7:$AI$16,4)+1)*D94),)</f>
        <v>0</v>
      </c>
      <c r="L94" s="303">
        <f t="shared" ref="L94:L136" si="45">IF(E94,((VLOOKUP($B94,$E$7:$AI$16,8)+1)*E94),)</f>
        <v>0</v>
      </c>
      <c r="M94" s="303">
        <f t="shared" ref="M94:M136" si="46">IF(F94,((VLOOKUP($B94,$E$7:$AI$16,12)+1)*F94),)</f>
        <v>0</v>
      </c>
      <c r="N94" s="303">
        <f t="shared" ref="N94:N136" si="47">IF(G94,((VLOOKUP($B94,$E$7:$AI$16,16)+1)*G94),)</f>
        <v>0</v>
      </c>
      <c r="O94" s="303">
        <f t="shared" ref="O94:O136" si="48">IF(H94,((VLOOKUP($B94,$E$7:$AI$16,20)+1)*H94),)</f>
        <v>0</v>
      </c>
      <c r="P94" s="303"/>
      <c r="Q94" s="303"/>
      <c r="R94" s="303">
        <f t="shared" ref="R94:R136" si="49">IF(D94,((VLOOKUP($B94,$E$7:$AI$16,5)+1)*K94),)</f>
        <v>0</v>
      </c>
      <c r="S94" s="303">
        <f t="shared" ref="S94:S136" si="50">IF(E94,((VLOOKUP($B94,$E$7:$AI$16,5+4)+1)*L94),)</f>
        <v>0</v>
      </c>
      <c r="T94" s="303">
        <f t="shared" ref="T94:T136" si="51">IF(F94,((VLOOKUP($B94,$E$7:$AI$16,5+8)+1)*M94),)</f>
        <v>0</v>
      </c>
      <c r="U94" s="303">
        <f t="shared" ref="U94:U136" si="52">IF(G94,((VLOOKUP($B94,$E$7:$AI$16,5+12)+1)*N94),)</f>
        <v>0</v>
      </c>
      <c r="V94" s="303">
        <f t="shared" ref="V94:V136" si="53">IF(H94,((VLOOKUP($B94,$E$7:$AI$16,5+16)+1)*O94),)</f>
        <v>0</v>
      </c>
      <c r="W94" s="303"/>
      <c r="X94" s="303"/>
      <c r="Y94" s="303">
        <f t="shared" ref="Y94:Y136" si="54">IF(D94,((VLOOKUP($B94,$E$7:$AI$16,6)+1)*R94),)</f>
        <v>0</v>
      </c>
      <c r="Z94" s="303">
        <f t="shared" ref="Z94:Z136" si="55">IF(E94,((VLOOKUP($B94,$E$7:$AI$16,6+4)+1)*S94),)</f>
        <v>0</v>
      </c>
      <c r="AA94" s="303">
        <f t="shared" ref="AA94:AA136" si="56">IF(F94,((VLOOKUP($B94,$E$7:$AI$16,6+8)+1)*T94),)</f>
        <v>0</v>
      </c>
      <c r="AB94" s="303">
        <f t="shared" ref="AB94:AB136" si="57">IF(G94,((VLOOKUP($B94,$E$7:$AI$16,6+12)+1)*U94),)</f>
        <v>0</v>
      </c>
      <c r="AC94" s="303">
        <f t="shared" ref="AC94:AC136" si="58">IF(H94,((VLOOKUP($B94,$E$7:$AI$16,6+16)+1)*V94),)</f>
        <v>0</v>
      </c>
      <c r="AD94" s="303"/>
      <c r="AE94" s="303"/>
      <c r="AF94" s="303">
        <f t="shared" ref="AF94:AF136" si="59">IF(D94,((VLOOKUP($B94,$E$7:$AI$16,7)+1)*Y94),)</f>
        <v>0</v>
      </c>
      <c r="AG94" s="303">
        <f t="shared" ref="AG94:AG136" si="60">IF(E94,((VLOOKUP($B94,$E$7:$AI$16,7+4)+1)*Z94),)</f>
        <v>0</v>
      </c>
      <c r="AH94" s="303">
        <f t="shared" ref="AH94:AH136" si="61">IF(F94,((VLOOKUP($B94,$E$7:$AI$16,7+8)+1)*AA94),)</f>
        <v>0</v>
      </c>
      <c r="AI94" s="303">
        <f t="shared" ref="AI94:AI136" si="62">IF(G94,((VLOOKUP($B94,$E$7:$AI$16,7+12)+1)*AB94),)</f>
        <v>0</v>
      </c>
      <c r="AJ94" s="303">
        <f t="shared" ref="AJ94:AJ136" si="63">IF(H94,((VLOOKUP($B94,$E$7:$AI$16,7+16)+1)*AC94),)</f>
        <v>0</v>
      </c>
      <c r="AK94" s="303"/>
      <c r="AL94" s="303"/>
    </row>
    <row r="95" spans="1:38" ht="15">
      <c r="A95" s="26">
        <f t="shared" si="43"/>
        <v>68</v>
      </c>
      <c r="B95" s="171">
        <v>2</v>
      </c>
      <c r="C95" s="260" t="s">
        <v>97</v>
      </c>
      <c r="D95" s="304">
        <f>'[2]CDCM Volume Forecasts'!D95</f>
        <v>4105.9859496450399</v>
      </c>
      <c r="E95" s="304">
        <f>'[2]CDCM Volume Forecasts'!E95</f>
        <v>29544.034960210251</v>
      </c>
      <c r="F95" s="304">
        <f>'[2]CDCM Volume Forecasts'!F95</f>
        <v>79785.804627936566</v>
      </c>
      <c r="G95" s="304">
        <f>'[2]CDCM Volume Forecasts'!G95</f>
        <v>27.444162911866147</v>
      </c>
      <c r="H95" s="305">
        <f>'[2]CDCM Volume Forecasts'!H95</f>
        <v>0</v>
      </c>
      <c r="I95" s="305">
        <f>'[2]CDCM Volume Forecasts'!I95</f>
        <v>0</v>
      </c>
      <c r="J95" s="305">
        <f>'[2]CDCM Volume Forecasts'!J95</f>
        <v>0</v>
      </c>
      <c r="K95" s="304">
        <f t="shared" si="44"/>
        <v>4105.9859496450399</v>
      </c>
      <c r="L95" s="304">
        <f t="shared" si="45"/>
        <v>29544.034960210251</v>
      </c>
      <c r="M95" s="304">
        <f t="shared" si="46"/>
        <v>79785.804627936566</v>
      </c>
      <c r="N95" s="304">
        <f t="shared" si="47"/>
        <v>27.444162911866147</v>
      </c>
      <c r="O95" s="305">
        <f t="shared" si="48"/>
        <v>0</v>
      </c>
      <c r="P95" s="305"/>
      <c r="Q95" s="305"/>
      <c r="R95" s="304">
        <f t="shared" si="49"/>
        <v>4105.9859496450399</v>
      </c>
      <c r="S95" s="304">
        <f t="shared" si="50"/>
        <v>29544.034960210251</v>
      </c>
      <c r="T95" s="304">
        <f t="shared" si="51"/>
        <v>79785.804627936566</v>
      </c>
      <c r="U95" s="304">
        <f t="shared" si="52"/>
        <v>27.444162911866147</v>
      </c>
      <c r="V95" s="305">
        <f t="shared" si="53"/>
        <v>0</v>
      </c>
      <c r="W95" s="305"/>
      <c r="X95" s="305"/>
      <c r="Y95" s="304">
        <f t="shared" si="54"/>
        <v>4105.9859496450399</v>
      </c>
      <c r="Z95" s="304">
        <f t="shared" si="55"/>
        <v>29544.034960210251</v>
      </c>
      <c r="AA95" s="304">
        <f t="shared" si="56"/>
        <v>79785.804627936566</v>
      </c>
      <c r="AB95" s="304">
        <f t="shared" si="57"/>
        <v>27.444162911866147</v>
      </c>
      <c r="AC95" s="305">
        <f t="shared" si="58"/>
        <v>0</v>
      </c>
      <c r="AD95" s="305"/>
      <c r="AE95" s="305"/>
      <c r="AF95" s="304">
        <f t="shared" si="59"/>
        <v>4105.9859496450399</v>
      </c>
      <c r="AG95" s="304">
        <f t="shared" si="60"/>
        <v>29544.034960210251</v>
      </c>
      <c r="AH95" s="304">
        <f t="shared" si="61"/>
        <v>79785.804627936566</v>
      </c>
      <c r="AI95" s="304">
        <f t="shared" si="62"/>
        <v>27.444162911866147</v>
      </c>
      <c r="AJ95" s="305">
        <f t="shared" si="63"/>
        <v>0</v>
      </c>
      <c r="AK95" s="305"/>
      <c r="AL95" s="305"/>
    </row>
    <row r="96" spans="1:38" ht="15">
      <c r="A96" s="26">
        <f t="shared" si="43"/>
        <v>69</v>
      </c>
      <c r="B96" s="171">
        <v>2</v>
      </c>
      <c r="C96" s="260" t="s">
        <v>151</v>
      </c>
      <c r="D96" s="304">
        <f>'[2]CDCM Volume Forecasts'!D96</f>
        <v>0</v>
      </c>
      <c r="E96" s="304">
        <f>'[2]CDCM Volume Forecasts'!E96</f>
        <v>0</v>
      </c>
      <c r="F96" s="304">
        <f>'[2]CDCM Volume Forecasts'!F96</f>
        <v>0</v>
      </c>
      <c r="G96" s="304">
        <f>'[2]CDCM Volume Forecasts'!G96</f>
        <v>0</v>
      </c>
      <c r="H96" s="305">
        <f>'[2]CDCM Volume Forecasts'!H96</f>
        <v>0</v>
      </c>
      <c r="I96" s="305">
        <f>'[2]CDCM Volume Forecasts'!I96</f>
        <v>0</v>
      </c>
      <c r="J96" s="305">
        <f>'[2]CDCM Volume Forecasts'!J96</f>
        <v>0</v>
      </c>
      <c r="K96" s="304">
        <f t="shared" si="44"/>
        <v>0</v>
      </c>
      <c r="L96" s="304">
        <f t="shared" si="45"/>
        <v>0</v>
      </c>
      <c r="M96" s="304">
        <f t="shared" si="46"/>
        <v>0</v>
      </c>
      <c r="N96" s="304">
        <f t="shared" si="47"/>
        <v>0</v>
      </c>
      <c r="O96" s="305">
        <f t="shared" si="48"/>
        <v>0</v>
      </c>
      <c r="P96" s="305"/>
      <c r="Q96" s="305"/>
      <c r="R96" s="304">
        <f t="shared" si="49"/>
        <v>0</v>
      </c>
      <c r="S96" s="304">
        <f t="shared" si="50"/>
        <v>0</v>
      </c>
      <c r="T96" s="304">
        <f t="shared" si="51"/>
        <v>0</v>
      </c>
      <c r="U96" s="304">
        <f t="shared" si="52"/>
        <v>0</v>
      </c>
      <c r="V96" s="305">
        <f t="shared" si="53"/>
        <v>0</v>
      </c>
      <c r="W96" s="305"/>
      <c r="X96" s="305"/>
      <c r="Y96" s="304">
        <f t="shared" si="54"/>
        <v>0</v>
      </c>
      <c r="Z96" s="304">
        <f t="shared" si="55"/>
        <v>0</v>
      </c>
      <c r="AA96" s="304">
        <f t="shared" si="56"/>
        <v>0</v>
      </c>
      <c r="AB96" s="304">
        <f t="shared" si="57"/>
        <v>0</v>
      </c>
      <c r="AC96" s="305">
        <f t="shared" si="58"/>
        <v>0</v>
      </c>
      <c r="AD96" s="305"/>
      <c r="AE96" s="305"/>
      <c r="AF96" s="304">
        <f t="shared" si="59"/>
        <v>0</v>
      </c>
      <c r="AG96" s="304">
        <f t="shared" si="60"/>
        <v>0</v>
      </c>
      <c r="AH96" s="304">
        <f t="shared" si="61"/>
        <v>0</v>
      </c>
      <c r="AI96" s="304">
        <f t="shared" si="62"/>
        <v>0</v>
      </c>
      <c r="AJ96" s="305">
        <f t="shared" si="63"/>
        <v>0</v>
      </c>
      <c r="AK96" s="305"/>
      <c r="AL96" s="305"/>
    </row>
    <row r="97" spans="1:38" ht="15">
      <c r="A97" s="26">
        <f t="shared" si="43"/>
        <v>70</v>
      </c>
      <c r="B97" s="171">
        <v>2</v>
      </c>
      <c r="C97" s="260" t="s">
        <v>152</v>
      </c>
      <c r="D97" s="304">
        <f>'[2]CDCM Volume Forecasts'!D97</f>
        <v>1.582648648170732</v>
      </c>
      <c r="E97" s="304">
        <f>'[2]CDCM Volume Forecasts'!E97</f>
        <v>5.703542262359643</v>
      </c>
      <c r="F97" s="304">
        <f>'[2]CDCM Volume Forecasts'!F97</f>
        <v>35.255484612621792</v>
      </c>
      <c r="G97" s="304">
        <f>'[2]CDCM Volume Forecasts'!G97</f>
        <v>1.1758993150684933</v>
      </c>
      <c r="H97" s="305">
        <f>'[2]CDCM Volume Forecasts'!H97</f>
        <v>0</v>
      </c>
      <c r="I97" s="305">
        <f>'[2]CDCM Volume Forecasts'!I97</f>
        <v>0</v>
      </c>
      <c r="J97" s="305">
        <f>'[2]CDCM Volume Forecasts'!J97</f>
        <v>0</v>
      </c>
      <c r="K97" s="304">
        <f t="shared" si="44"/>
        <v>1.582648648170732</v>
      </c>
      <c r="L97" s="304">
        <f t="shared" si="45"/>
        <v>5.703542262359643</v>
      </c>
      <c r="M97" s="304">
        <f t="shared" si="46"/>
        <v>35.255484612621792</v>
      </c>
      <c r="N97" s="304">
        <f t="shared" si="47"/>
        <v>1.1758993150684933</v>
      </c>
      <c r="O97" s="305">
        <f t="shared" si="48"/>
        <v>0</v>
      </c>
      <c r="P97" s="305"/>
      <c r="Q97" s="305"/>
      <c r="R97" s="304">
        <f t="shared" si="49"/>
        <v>1.582648648170732</v>
      </c>
      <c r="S97" s="304">
        <f t="shared" si="50"/>
        <v>5.703542262359643</v>
      </c>
      <c r="T97" s="304">
        <f t="shared" si="51"/>
        <v>35.255484612621792</v>
      </c>
      <c r="U97" s="304">
        <f t="shared" si="52"/>
        <v>1.1758993150684933</v>
      </c>
      <c r="V97" s="305">
        <f t="shared" si="53"/>
        <v>0</v>
      </c>
      <c r="W97" s="305"/>
      <c r="X97" s="305"/>
      <c r="Y97" s="304">
        <f t="shared" si="54"/>
        <v>1.582648648170732</v>
      </c>
      <c r="Z97" s="304">
        <f t="shared" si="55"/>
        <v>5.703542262359643</v>
      </c>
      <c r="AA97" s="304">
        <f t="shared" si="56"/>
        <v>35.255484612621792</v>
      </c>
      <c r="AB97" s="304">
        <f t="shared" si="57"/>
        <v>1.1758993150684933</v>
      </c>
      <c r="AC97" s="305">
        <f t="shared" si="58"/>
        <v>0</v>
      </c>
      <c r="AD97" s="305"/>
      <c r="AE97" s="305"/>
      <c r="AF97" s="304">
        <f t="shared" si="59"/>
        <v>1.582648648170732</v>
      </c>
      <c r="AG97" s="304">
        <f t="shared" si="60"/>
        <v>5.703542262359643</v>
      </c>
      <c r="AH97" s="304">
        <f t="shared" si="61"/>
        <v>35.255484612621792</v>
      </c>
      <c r="AI97" s="304">
        <f t="shared" si="62"/>
        <v>1.1758993150684933</v>
      </c>
      <c r="AJ97" s="305">
        <f t="shared" si="63"/>
        <v>0</v>
      </c>
      <c r="AK97" s="305"/>
      <c r="AL97" s="305"/>
    </row>
    <row r="98" spans="1:38" ht="15">
      <c r="A98" s="26">
        <f t="shared" si="43"/>
        <v>71</v>
      </c>
      <c r="B98" s="171"/>
      <c r="C98" s="259" t="s">
        <v>1179</v>
      </c>
      <c r="D98" s="303">
        <f>'[2]CDCM Volume Forecasts'!D98</f>
        <v>0</v>
      </c>
      <c r="E98" s="303">
        <f>'[2]CDCM Volume Forecasts'!E98</f>
        <v>0</v>
      </c>
      <c r="F98" s="303">
        <f>'[2]CDCM Volume Forecasts'!F98</f>
        <v>0</v>
      </c>
      <c r="G98" s="303">
        <f>'[2]CDCM Volume Forecasts'!G98</f>
        <v>0</v>
      </c>
      <c r="H98" s="303">
        <f>'[2]CDCM Volume Forecasts'!H98</f>
        <v>0</v>
      </c>
      <c r="I98" s="303">
        <f>'[2]CDCM Volume Forecasts'!I98</f>
        <v>0</v>
      </c>
      <c r="J98" s="303">
        <f>'[2]CDCM Volume Forecasts'!J98</f>
        <v>0</v>
      </c>
      <c r="K98" s="303">
        <f t="shared" si="44"/>
        <v>0</v>
      </c>
      <c r="L98" s="303">
        <f t="shared" si="45"/>
        <v>0</v>
      </c>
      <c r="M98" s="303">
        <f t="shared" si="46"/>
        <v>0</v>
      </c>
      <c r="N98" s="303">
        <f t="shared" si="47"/>
        <v>0</v>
      </c>
      <c r="O98" s="303">
        <f t="shared" si="48"/>
        <v>0</v>
      </c>
      <c r="P98" s="303"/>
      <c r="Q98" s="303"/>
      <c r="R98" s="303">
        <f t="shared" si="49"/>
        <v>0</v>
      </c>
      <c r="S98" s="303">
        <f t="shared" si="50"/>
        <v>0</v>
      </c>
      <c r="T98" s="303">
        <f t="shared" si="51"/>
        <v>0</v>
      </c>
      <c r="U98" s="303">
        <f t="shared" si="52"/>
        <v>0</v>
      </c>
      <c r="V98" s="303">
        <f t="shared" si="53"/>
        <v>0</v>
      </c>
      <c r="W98" s="303"/>
      <c r="X98" s="303"/>
      <c r="Y98" s="303">
        <f t="shared" si="54"/>
        <v>0</v>
      </c>
      <c r="Z98" s="303">
        <f t="shared" si="55"/>
        <v>0</v>
      </c>
      <c r="AA98" s="303">
        <f t="shared" si="56"/>
        <v>0</v>
      </c>
      <c r="AB98" s="303">
        <f t="shared" si="57"/>
        <v>0</v>
      </c>
      <c r="AC98" s="303">
        <f t="shared" si="58"/>
        <v>0</v>
      </c>
      <c r="AD98" s="303"/>
      <c r="AE98" s="303"/>
      <c r="AF98" s="303">
        <f t="shared" si="59"/>
        <v>0</v>
      </c>
      <c r="AG98" s="303">
        <f t="shared" si="60"/>
        <v>0</v>
      </c>
      <c r="AH98" s="303">
        <f t="shared" si="61"/>
        <v>0</v>
      </c>
      <c r="AI98" s="303">
        <f t="shared" si="62"/>
        <v>0</v>
      </c>
      <c r="AJ98" s="303">
        <f t="shared" si="63"/>
        <v>0</v>
      </c>
      <c r="AK98" s="303"/>
      <c r="AL98" s="303"/>
    </row>
    <row r="99" spans="1:38" ht="15">
      <c r="A99" s="26">
        <f t="shared" si="43"/>
        <v>72</v>
      </c>
      <c r="B99" s="171">
        <v>4</v>
      </c>
      <c r="C99" s="260" t="s">
        <v>1176</v>
      </c>
      <c r="D99" s="304">
        <f>'[2]CDCM Volume Forecasts'!D99</f>
        <v>3214.7578266896548</v>
      </c>
      <c r="E99" s="305">
        <f>'[2]CDCM Volume Forecasts'!E99</f>
        <v>0</v>
      </c>
      <c r="F99" s="305">
        <f>'[2]CDCM Volume Forecasts'!F99</f>
        <v>0</v>
      </c>
      <c r="G99" s="304">
        <f>'[2]CDCM Volume Forecasts'!G99</f>
        <v>286</v>
      </c>
      <c r="H99" s="305">
        <f>'[2]CDCM Volume Forecasts'!H99</f>
        <v>0</v>
      </c>
      <c r="I99" s="305">
        <f>'[2]CDCM Volume Forecasts'!I99</f>
        <v>0</v>
      </c>
      <c r="J99" s="305">
        <f>'[2]CDCM Volume Forecasts'!J99</f>
        <v>0</v>
      </c>
      <c r="K99" s="304">
        <f t="shared" si="44"/>
        <v>3214.7578266896548</v>
      </c>
      <c r="L99" s="305">
        <f t="shared" si="45"/>
        <v>0</v>
      </c>
      <c r="M99" s="305">
        <f t="shared" si="46"/>
        <v>0</v>
      </c>
      <c r="N99" s="304">
        <f t="shared" si="47"/>
        <v>286</v>
      </c>
      <c r="O99" s="305">
        <f t="shared" si="48"/>
        <v>0</v>
      </c>
      <c r="P99" s="305"/>
      <c r="Q99" s="305"/>
      <c r="R99" s="304">
        <f t="shared" si="49"/>
        <v>3214.7578266896548</v>
      </c>
      <c r="S99" s="305">
        <f t="shared" si="50"/>
        <v>0</v>
      </c>
      <c r="T99" s="305">
        <f t="shared" si="51"/>
        <v>0</v>
      </c>
      <c r="U99" s="304">
        <f t="shared" si="52"/>
        <v>286</v>
      </c>
      <c r="V99" s="305">
        <f t="shared" si="53"/>
        <v>0</v>
      </c>
      <c r="W99" s="305"/>
      <c r="X99" s="305"/>
      <c r="Y99" s="304">
        <f t="shared" si="54"/>
        <v>3214.7578266896548</v>
      </c>
      <c r="Z99" s="305">
        <f t="shared" si="55"/>
        <v>0</v>
      </c>
      <c r="AA99" s="305">
        <f t="shared" si="56"/>
        <v>0</v>
      </c>
      <c r="AB99" s="304">
        <f t="shared" si="57"/>
        <v>286</v>
      </c>
      <c r="AC99" s="305">
        <f t="shared" si="58"/>
        <v>0</v>
      </c>
      <c r="AD99" s="305"/>
      <c r="AE99" s="305"/>
      <c r="AF99" s="304">
        <f t="shared" si="59"/>
        <v>3214.7578266896548</v>
      </c>
      <c r="AG99" s="305">
        <f t="shared" si="60"/>
        <v>0</v>
      </c>
      <c r="AH99" s="305">
        <f t="shared" si="61"/>
        <v>0</v>
      </c>
      <c r="AI99" s="304">
        <f t="shared" si="62"/>
        <v>286</v>
      </c>
      <c r="AJ99" s="305">
        <f t="shared" si="63"/>
        <v>0</v>
      </c>
      <c r="AK99" s="305"/>
      <c r="AL99" s="305"/>
    </row>
    <row r="100" spans="1:38" ht="15">
      <c r="A100" s="26">
        <f t="shared" si="43"/>
        <v>73</v>
      </c>
      <c r="B100" s="171">
        <v>4</v>
      </c>
      <c r="C100" s="260" t="s">
        <v>1173</v>
      </c>
      <c r="D100" s="304">
        <f>'[2]CDCM Volume Forecasts'!D100</f>
        <v>132.89592165517243</v>
      </c>
      <c r="E100" s="305">
        <f>'[2]CDCM Volume Forecasts'!E100</f>
        <v>0</v>
      </c>
      <c r="F100" s="305">
        <f>'[2]CDCM Volume Forecasts'!F100</f>
        <v>0</v>
      </c>
      <c r="G100" s="304">
        <f>'[2]CDCM Volume Forecasts'!G100</f>
        <v>0</v>
      </c>
      <c r="H100" s="305">
        <f>'[2]CDCM Volume Forecasts'!H100</f>
        <v>0</v>
      </c>
      <c r="I100" s="305">
        <f>'[2]CDCM Volume Forecasts'!I100</f>
        <v>0</v>
      </c>
      <c r="J100" s="305">
        <f>'[2]CDCM Volume Forecasts'!J100</f>
        <v>0</v>
      </c>
      <c r="K100" s="304">
        <f t="shared" si="44"/>
        <v>132.89592165517243</v>
      </c>
      <c r="L100" s="305">
        <f t="shared" si="45"/>
        <v>0</v>
      </c>
      <c r="M100" s="305">
        <f t="shared" si="46"/>
        <v>0</v>
      </c>
      <c r="N100" s="304">
        <f t="shared" si="47"/>
        <v>0</v>
      </c>
      <c r="O100" s="305">
        <f t="shared" si="48"/>
        <v>0</v>
      </c>
      <c r="P100" s="305"/>
      <c r="Q100" s="305"/>
      <c r="R100" s="304">
        <f t="shared" si="49"/>
        <v>132.89592165517243</v>
      </c>
      <c r="S100" s="305">
        <f t="shared" si="50"/>
        <v>0</v>
      </c>
      <c r="T100" s="305">
        <f t="shared" si="51"/>
        <v>0</v>
      </c>
      <c r="U100" s="304">
        <f t="shared" si="52"/>
        <v>0</v>
      </c>
      <c r="V100" s="305">
        <f t="shared" si="53"/>
        <v>0</v>
      </c>
      <c r="W100" s="305"/>
      <c r="X100" s="305"/>
      <c r="Y100" s="304">
        <f t="shared" si="54"/>
        <v>132.89592165517243</v>
      </c>
      <c r="Z100" s="305">
        <f t="shared" si="55"/>
        <v>0</v>
      </c>
      <c r="AA100" s="305">
        <f t="shared" si="56"/>
        <v>0</v>
      </c>
      <c r="AB100" s="304">
        <f t="shared" si="57"/>
        <v>0</v>
      </c>
      <c r="AC100" s="305">
        <f t="shared" si="58"/>
        <v>0</v>
      </c>
      <c r="AD100" s="305"/>
      <c r="AE100" s="305"/>
      <c r="AF100" s="304">
        <f t="shared" si="59"/>
        <v>132.89592165517243</v>
      </c>
      <c r="AG100" s="305">
        <f t="shared" si="60"/>
        <v>0</v>
      </c>
      <c r="AH100" s="305">
        <f t="shared" si="61"/>
        <v>0</v>
      </c>
      <c r="AI100" s="304">
        <f t="shared" si="62"/>
        <v>0</v>
      </c>
      <c r="AJ100" s="305">
        <f t="shared" si="63"/>
        <v>0</v>
      </c>
      <c r="AK100" s="305"/>
      <c r="AL100" s="305"/>
    </row>
    <row r="101" spans="1:38" ht="15">
      <c r="A101" s="26">
        <f t="shared" si="43"/>
        <v>74</v>
      </c>
      <c r="B101" s="171">
        <v>4</v>
      </c>
      <c r="C101" s="260" t="s">
        <v>1170</v>
      </c>
      <c r="D101" s="304">
        <f>'[2]CDCM Volume Forecasts'!D101</f>
        <v>0</v>
      </c>
      <c r="E101" s="305">
        <f>'[2]CDCM Volume Forecasts'!E101</f>
        <v>0</v>
      </c>
      <c r="F101" s="305">
        <f>'[2]CDCM Volume Forecasts'!F101</f>
        <v>0</v>
      </c>
      <c r="G101" s="304">
        <f>'[2]CDCM Volume Forecasts'!G101</f>
        <v>0</v>
      </c>
      <c r="H101" s="305">
        <f>'[2]CDCM Volume Forecasts'!H101</f>
        <v>0</v>
      </c>
      <c r="I101" s="305">
        <f>'[2]CDCM Volume Forecasts'!I101</f>
        <v>0</v>
      </c>
      <c r="J101" s="305">
        <f>'[2]CDCM Volume Forecasts'!J101</f>
        <v>0</v>
      </c>
      <c r="K101" s="304">
        <f t="shared" si="44"/>
        <v>0</v>
      </c>
      <c r="L101" s="305">
        <f t="shared" si="45"/>
        <v>0</v>
      </c>
      <c r="M101" s="305">
        <f t="shared" si="46"/>
        <v>0</v>
      </c>
      <c r="N101" s="304">
        <f t="shared" si="47"/>
        <v>0</v>
      </c>
      <c r="O101" s="305">
        <f t="shared" si="48"/>
        <v>0</v>
      </c>
      <c r="P101" s="305"/>
      <c r="Q101" s="305"/>
      <c r="R101" s="304">
        <f t="shared" si="49"/>
        <v>0</v>
      </c>
      <c r="S101" s="305">
        <f t="shared" si="50"/>
        <v>0</v>
      </c>
      <c r="T101" s="305">
        <f t="shared" si="51"/>
        <v>0</v>
      </c>
      <c r="U101" s="304">
        <f t="shared" si="52"/>
        <v>0</v>
      </c>
      <c r="V101" s="305">
        <f t="shared" si="53"/>
        <v>0</v>
      </c>
      <c r="W101" s="305"/>
      <c r="X101" s="305"/>
      <c r="Y101" s="304">
        <f t="shared" si="54"/>
        <v>0</v>
      </c>
      <c r="Z101" s="305">
        <f t="shared" si="55"/>
        <v>0</v>
      </c>
      <c r="AA101" s="305">
        <f t="shared" si="56"/>
        <v>0</v>
      </c>
      <c r="AB101" s="304">
        <f t="shared" si="57"/>
        <v>0</v>
      </c>
      <c r="AC101" s="305">
        <f t="shared" si="58"/>
        <v>0</v>
      </c>
      <c r="AD101" s="305"/>
      <c r="AE101" s="305"/>
      <c r="AF101" s="304">
        <f t="shared" si="59"/>
        <v>0</v>
      </c>
      <c r="AG101" s="305">
        <f t="shared" si="60"/>
        <v>0</v>
      </c>
      <c r="AH101" s="305">
        <f t="shared" si="61"/>
        <v>0</v>
      </c>
      <c r="AI101" s="304">
        <f t="shared" si="62"/>
        <v>0</v>
      </c>
      <c r="AJ101" s="305">
        <f t="shared" si="63"/>
        <v>0</v>
      </c>
      <c r="AK101" s="305"/>
      <c r="AL101" s="305"/>
    </row>
    <row r="102" spans="1:38" ht="15">
      <c r="A102" s="26">
        <f t="shared" si="43"/>
        <v>75</v>
      </c>
      <c r="B102" s="171"/>
      <c r="C102" s="259" t="s">
        <v>153</v>
      </c>
      <c r="D102" s="303">
        <f>'[2]CDCM Volume Forecasts'!D102</f>
        <v>0</v>
      </c>
      <c r="E102" s="303">
        <f>'[2]CDCM Volume Forecasts'!E102</f>
        <v>0</v>
      </c>
      <c r="F102" s="303">
        <f>'[2]CDCM Volume Forecasts'!F102</f>
        <v>0</v>
      </c>
      <c r="G102" s="303">
        <f>'[2]CDCM Volume Forecasts'!G102</f>
        <v>0</v>
      </c>
      <c r="H102" s="303">
        <f>'[2]CDCM Volume Forecasts'!H102</f>
        <v>0</v>
      </c>
      <c r="I102" s="303">
        <f>'[2]CDCM Volume Forecasts'!I102</f>
        <v>0</v>
      </c>
      <c r="J102" s="303">
        <f>'[2]CDCM Volume Forecasts'!J102</f>
        <v>0</v>
      </c>
      <c r="K102" s="303">
        <f t="shared" si="44"/>
        <v>0</v>
      </c>
      <c r="L102" s="303">
        <f t="shared" si="45"/>
        <v>0</v>
      </c>
      <c r="M102" s="303">
        <f t="shared" si="46"/>
        <v>0</v>
      </c>
      <c r="N102" s="303">
        <f t="shared" si="47"/>
        <v>0</v>
      </c>
      <c r="O102" s="303">
        <f t="shared" si="48"/>
        <v>0</v>
      </c>
      <c r="P102" s="303"/>
      <c r="Q102" s="303"/>
      <c r="R102" s="303">
        <f t="shared" si="49"/>
        <v>0</v>
      </c>
      <c r="S102" s="303">
        <f t="shared" si="50"/>
        <v>0</v>
      </c>
      <c r="T102" s="303">
        <f t="shared" si="51"/>
        <v>0</v>
      </c>
      <c r="U102" s="303">
        <f t="shared" si="52"/>
        <v>0</v>
      </c>
      <c r="V102" s="303">
        <f t="shared" si="53"/>
        <v>0</v>
      </c>
      <c r="W102" s="303"/>
      <c r="X102" s="303"/>
      <c r="Y102" s="303">
        <f t="shared" si="54"/>
        <v>0</v>
      </c>
      <c r="Z102" s="303">
        <f t="shared" si="55"/>
        <v>0</v>
      </c>
      <c r="AA102" s="303">
        <f t="shared" si="56"/>
        <v>0</v>
      </c>
      <c r="AB102" s="303">
        <f t="shared" si="57"/>
        <v>0</v>
      </c>
      <c r="AC102" s="303">
        <f t="shared" si="58"/>
        <v>0</v>
      </c>
      <c r="AD102" s="303"/>
      <c r="AE102" s="303"/>
      <c r="AF102" s="303">
        <f t="shared" si="59"/>
        <v>0</v>
      </c>
      <c r="AG102" s="303">
        <f t="shared" si="60"/>
        <v>0</v>
      </c>
      <c r="AH102" s="303">
        <f t="shared" si="61"/>
        <v>0</v>
      </c>
      <c r="AI102" s="303">
        <f t="shared" si="62"/>
        <v>0</v>
      </c>
      <c r="AJ102" s="303">
        <f t="shared" si="63"/>
        <v>0</v>
      </c>
      <c r="AK102" s="303"/>
      <c r="AL102" s="303"/>
    </row>
    <row r="103" spans="1:38" ht="15">
      <c r="A103" s="26">
        <f t="shared" si="43"/>
        <v>76</v>
      </c>
      <c r="B103" s="171">
        <v>4</v>
      </c>
      <c r="C103" s="260" t="s">
        <v>62</v>
      </c>
      <c r="D103" s="304">
        <f>'[2]CDCM Volume Forecasts'!D103</f>
        <v>92.074856879310332</v>
      </c>
      <c r="E103" s="305">
        <f>'[2]CDCM Volume Forecasts'!E103</f>
        <v>0</v>
      </c>
      <c r="F103" s="305">
        <f>'[2]CDCM Volume Forecasts'!F103</f>
        <v>0</v>
      </c>
      <c r="G103" s="304">
        <f>'[2]CDCM Volume Forecasts'!G103</f>
        <v>1</v>
      </c>
      <c r="H103" s="305">
        <f>'[2]CDCM Volume Forecasts'!H103</f>
        <v>0</v>
      </c>
      <c r="I103" s="305">
        <f>'[2]CDCM Volume Forecasts'!I103</f>
        <v>0</v>
      </c>
      <c r="J103" s="305">
        <f>'[2]CDCM Volume Forecasts'!J103</f>
        <v>0</v>
      </c>
      <c r="K103" s="304">
        <f t="shared" si="44"/>
        <v>92.074856879310332</v>
      </c>
      <c r="L103" s="305">
        <f t="shared" si="45"/>
        <v>0</v>
      </c>
      <c r="M103" s="305">
        <f t="shared" si="46"/>
        <v>0</v>
      </c>
      <c r="N103" s="304">
        <f t="shared" si="47"/>
        <v>1</v>
      </c>
      <c r="O103" s="305">
        <f t="shared" si="48"/>
        <v>0</v>
      </c>
      <c r="P103" s="305"/>
      <c r="Q103" s="305"/>
      <c r="R103" s="304">
        <f t="shared" si="49"/>
        <v>92.074856879310332</v>
      </c>
      <c r="S103" s="305">
        <f t="shared" si="50"/>
        <v>0</v>
      </c>
      <c r="T103" s="305">
        <f t="shared" si="51"/>
        <v>0</v>
      </c>
      <c r="U103" s="304">
        <f t="shared" si="52"/>
        <v>1</v>
      </c>
      <c r="V103" s="305">
        <f t="shared" si="53"/>
        <v>0</v>
      </c>
      <c r="W103" s="305"/>
      <c r="X103" s="305"/>
      <c r="Y103" s="304">
        <f t="shared" si="54"/>
        <v>92.074856879310332</v>
      </c>
      <c r="Z103" s="305">
        <f t="shared" si="55"/>
        <v>0</v>
      </c>
      <c r="AA103" s="305">
        <f t="shared" si="56"/>
        <v>0</v>
      </c>
      <c r="AB103" s="304">
        <f t="shared" si="57"/>
        <v>1</v>
      </c>
      <c r="AC103" s="305">
        <f t="shared" si="58"/>
        <v>0</v>
      </c>
      <c r="AD103" s="305"/>
      <c r="AE103" s="305"/>
      <c r="AF103" s="304">
        <f t="shared" si="59"/>
        <v>92.074856879310332</v>
      </c>
      <c r="AG103" s="305">
        <f t="shared" si="60"/>
        <v>0</v>
      </c>
      <c r="AH103" s="305">
        <f t="shared" si="61"/>
        <v>0</v>
      </c>
      <c r="AI103" s="304">
        <f t="shared" si="62"/>
        <v>1</v>
      </c>
      <c r="AJ103" s="305">
        <f t="shared" si="63"/>
        <v>0</v>
      </c>
      <c r="AK103" s="305"/>
      <c r="AL103" s="305"/>
    </row>
    <row r="104" spans="1:38" ht="15">
      <c r="A104" s="26">
        <f t="shared" si="43"/>
        <v>77</v>
      </c>
      <c r="B104" s="171">
        <v>4</v>
      </c>
      <c r="C104" s="260" t="s">
        <v>154</v>
      </c>
      <c r="D104" s="304">
        <f>'[2]CDCM Volume Forecasts'!D104</f>
        <v>0</v>
      </c>
      <c r="E104" s="305">
        <f>'[2]CDCM Volume Forecasts'!E104</f>
        <v>0</v>
      </c>
      <c r="F104" s="305">
        <f>'[2]CDCM Volume Forecasts'!F104</f>
        <v>0</v>
      </c>
      <c r="G104" s="304">
        <f>'[2]CDCM Volume Forecasts'!G104</f>
        <v>0</v>
      </c>
      <c r="H104" s="305">
        <f>'[2]CDCM Volume Forecasts'!H104</f>
        <v>0</v>
      </c>
      <c r="I104" s="305">
        <f>'[2]CDCM Volume Forecasts'!I104</f>
        <v>0</v>
      </c>
      <c r="J104" s="305">
        <f>'[2]CDCM Volume Forecasts'!J104</f>
        <v>0</v>
      </c>
      <c r="K104" s="304">
        <f t="shared" si="44"/>
        <v>0</v>
      </c>
      <c r="L104" s="305">
        <f t="shared" si="45"/>
        <v>0</v>
      </c>
      <c r="M104" s="305">
        <f t="shared" si="46"/>
        <v>0</v>
      </c>
      <c r="N104" s="304">
        <f t="shared" si="47"/>
        <v>0</v>
      </c>
      <c r="O104" s="305">
        <f t="shared" si="48"/>
        <v>0</v>
      </c>
      <c r="P104" s="305"/>
      <c r="Q104" s="305"/>
      <c r="R104" s="304">
        <f t="shared" si="49"/>
        <v>0</v>
      </c>
      <c r="S104" s="305">
        <f t="shared" si="50"/>
        <v>0</v>
      </c>
      <c r="T104" s="305">
        <f t="shared" si="51"/>
        <v>0</v>
      </c>
      <c r="U104" s="304">
        <f t="shared" si="52"/>
        <v>0</v>
      </c>
      <c r="V104" s="305">
        <f t="shared" si="53"/>
        <v>0</v>
      </c>
      <c r="W104" s="305"/>
      <c r="X104" s="305"/>
      <c r="Y104" s="304">
        <f t="shared" si="54"/>
        <v>0</v>
      </c>
      <c r="Z104" s="305">
        <f t="shared" si="55"/>
        <v>0</v>
      </c>
      <c r="AA104" s="305">
        <f t="shared" si="56"/>
        <v>0</v>
      </c>
      <c r="AB104" s="304">
        <f t="shared" si="57"/>
        <v>0</v>
      </c>
      <c r="AC104" s="305">
        <f t="shared" si="58"/>
        <v>0</v>
      </c>
      <c r="AD104" s="305"/>
      <c r="AE104" s="305"/>
      <c r="AF104" s="304">
        <f t="shared" si="59"/>
        <v>0</v>
      </c>
      <c r="AG104" s="305">
        <f t="shared" si="60"/>
        <v>0</v>
      </c>
      <c r="AH104" s="305">
        <f t="shared" si="61"/>
        <v>0</v>
      </c>
      <c r="AI104" s="304">
        <f t="shared" si="62"/>
        <v>0</v>
      </c>
      <c r="AJ104" s="305">
        <f t="shared" si="63"/>
        <v>0</v>
      </c>
      <c r="AK104" s="305"/>
      <c r="AL104" s="305"/>
    </row>
    <row r="105" spans="1:38" ht="15">
      <c r="A105" s="26">
        <f t="shared" si="43"/>
        <v>78</v>
      </c>
      <c r="B105" s="171"/>
      <c r="C105" s="259" t="s">
        <v>155</v>
      </c>
      <c r="D105" s="303">
        <f>'[2]CDCM Volume Forecasts'!D105</f>
        <v>0</v>
      </c>
      <c r="E105" s="303">
        <f>'[2]CDCM Volume Forecasts'!E105</f>
        <v>0</v>
      </c>
      <c r="F105" s="303">
        <f>'[2]CDCM Volume Forecasts'!F105</f>
        <v>0</v>
      </c>
      <c r="G105" s="303">
        <f>'[2]CDCM Volume Forecasts'!G105</f>
        <v>0</v>
      </c>
      <c r="H105" s="303">
        <f>'[2]CDCM Volume Forecasts'!H105</f>
        <v>0</v>
      </c>
      <c r="I105" s="303">
        <f>'[2]CDCM Volume Forecasts'!I105</f>
        <v>0</v>
      </c>
      <c r="J105" s="303">
        <f>'[2]CDCM Volume Forecasts'!J105</f>
        <v>0</v>
      </c>
      <c r="K105" s="303">
        <f t="shared" si="44"/>
        <v>0</v>
      </c>
      <c r="L105" s="303">
        <f t="shared" si="45"/>
        <v>0</v>
      </c>
      <c r="M105" s="303">
        <f t="shared" si="46"/>
        <v>0</v>
      </c>
      <c r="N105" s="303">
        <f t="shared" si="47"/>
        <v>0</v>
      </c>
      <c r="O105" s="303">
        <f t="shared" si="48"/>
        <v>0</v>
      </c>
      <c r="P105" s="303"/>
      <c r="Q105" s="303"/>
      <c r="R105" s="303">
        <f t="shared" si="49"/>
        <v>0</v>
      </c>
      <c r="S105" s="303">
        <f t="shared" si="50"/>
        <v>0</v>
      </c>
      <c r="T105" s="303">
        <f t="shared" si="51"/>
        <v>0</v>
      </c>
      <c r="U105" s="303">
        <f t="shared" si="52"/>
        <v>0</v>
      </c>
      <c r="V105" s="303">
        <f t="shared" si="53"/>
        <v>0</v>
      </c>
      <c r="W105" s="303"/>
      <c r="X105" s="303"/>
      <c r="Y105" s="303">
        <f t="shared" si="54"/>
        <v>0</v>
      </c>
      <c r="Z105" s="303">
        <f t="shared" si="55"/>
        <v>0</v>
      </c>
      <c r="AA105" s="303">
        <f t="shared" si="56"/>
        <v>0</v>
      </c>
      <c r="AB105" s="303">
        <f t="shared" si="57"/>
        <v>0</v>
      </c>
      <c r="AC105" s="303">
        <f t="shared" si="58"/>
        <v>0</v>
      </c>
      <c r="AD105" s="303"/>
      <c r="AE105" s="303"/>
      <c r="AF105" s="303">
        <f t="shared" si="59"/>
        <v>0</v>
      </c>
      <c r="AG105" s="303">
        <f t="shared" si="60"/>
        <v>0</v>
      </c>
      <c r="AH105" s="303">
        <f t="shared" si="61"/>
        <v>0</v>
      </c>
      <c r="AI105" s="303">
        <f t="shared" si="62"/>
        <v>0</v>
      </c>
      <c r="AJ105" s="303">
        <f t="shared" si="63"/>
        <v>0</v>
      </c>
      <c r="AK105" s="303"/>
      <c r="AL105" s="303"/>
    </row>
    <row r="106" spans="1:38" ht="15">
      <c r="A106" s="26">
        <f t="shared" si="43"/>
        <v>79</v>
      </c>
      <c r="B106" s="171">
        <v>4</v>
      </c>
      <c r="C106" s="260" t="s">
        <v>63</v>
      </c>
      <c r="D106" s="304">
        <f>'[2]CDCM Volume Forecasts'!D106</f>
        <v>78529.095040948305</v>
      </c>
      <c r="E106" s="305">
        <f>'[2]CDCM Volume Forecasts'!E106</f>
        <v>0</v>
      </c>
      <c r="F106" s="305">
        <f>'[2]CDCM Volume Forecasts'!F106</f>
        <v>0</v>
      </c>
      <c r="G106" s="304">
        <f>'[2]CDCM Volume Forecasts'!G106</f>
        <v>887.02632534246584</v>
      </c>
      <c r="H106" s="305">
        <f>'[2]CDCM Volume Forecasts'!H106</f>
        <v>0</v>
      </c>
      <c r="I106" s="305">
        <f>'[2]CDCM Volume Forecasts'!I106</f>
        <v>0</v>
      </c>
      <c r="J106" s="304">
        <f>'[2]CDCM Volume Forecasts'!J106</f>
        <v>6221.8592215431045</v>
      </c>
      <c r="K106" s="304">
        <f t="shared" si="44"/>
        <v>78529.095040948305</v>
      </c>
      <c r="L106" s="305">
        <f t="shared" si="45"/>
        <v>0</v>
      </c>
      <c r="M106" s="305">
        <f t="shared" si="46"/>
        <v>0</v>
      </c>
      <c r="N106" s="304">
        <f t="shared" si="47"/>
        <v>887.02632534246584</v>
      </c>
      <c r="O106" s="305">
        <f t="shared" si="48"/>
        <v>0</v>
      </c>
      <c r="P106" s="305"/>
      <c r="Q106" s="304">
        <f t="shared" ref="Q106:Q108" si="64">IF(J106,((VLOOKUP($B106,$E$7:$AI$16,28)+1)*J106),)</f>
        <v>6221.8592215431045</v>
      </c>
      <c r="R106" s="304">
        <f t="shared" si="49"/>
        <v>78529.095040948305</v>
      </c>
      <c r="S106" s="305">
        <f t="shared" si="50"/>
        <v>0</v>
      </c>
      <c r="T106" s="305">
        <f t="shared" si="51"/>
        <v>0</v>
      </c>
      <c r="U106" s="304">
        <f t="shared" si="52"/>
        <v>887.02632534246584</v>
      </c>
      <c r="V106" s="305">
        <f t="shared" si="53"/>
        <v>0</v>
      </c>
      <c r="W106" s="305"/>
      <c r="X106" s="304">
        <f t="shared" ref="X106:X108" si="65">IF(J106,((VLOOKUP($B106,$E$7:$AI$16,5+24)+1)*Q106),)</f>
        <v>6221.8592215431045</v>
      </c>
      <c r="Y106" s="304">
        <f t="shared" si="54"/>
        <v>78529.095040948305</v>
      </c>
      <c r="Z106" s="305">
        <f t="shared" si="55"/>
        <v>0</v>
      </c>
      <c r="AA106" s="305">
        <f t="shared" si="56"/>
        <v>0</v>
      </c>
      <c r="AB106" s="304">
        <f t="shared" si="57"/>
        <v>887.02632534246584</v>
      </c>
      <c r="AC106" s="305">
        <f t="shared" si="58"/>
        <v>0</v>
      </c>
      <c r="AD106" s="305"/>
      <c r="AE106" s="304">
        <f t="shared" ref="AE106:AE108" si="66">IF(J106,((VLOOKUP($B106,$E$7:$AI$16,6+24)+1)*X106),)</f>
        <v>6221.8592215431045</v>
      </c>
      <c r="AF106" s="304">
        <f t="shared" si="59"/>
        <v>78529.095040948305</v>
      </c>
      <c r="AG106" s="305">
        <f t="shared" si="60"/>
        <v>0</v>
      </c>
      <c r="AH106" s="305">
        <f t="shared" si="61"/>
        <v>0</v>
      </c>
      <c r="AI106" s="304">
        <f t="shared" si="62"/>
        <v>887.02632534246584</v>
      </c>
      <c r="AJ106" s="305">
        <f t="shared" si="63"/>
        <v>0</v>
      </c>
      <c r="AK106" s="305"/>
      <c r="AL106" s="304">
        <f t="shared" ref="AL106:AL108" si="67">IF(J106,((VLOOKUP($B106,$E$7:$AI$16,7+24)+1)*AE106),)</f>
        <v>6221.8592215431045</v>
      </c>
    </row>
    <row r="107" spans="1:38" ht="15">
      <c r="A107" s="26">
        <f t="shared" si="43"/>
        <v>80</v>
      </c>
      <c r="B107" s="171">
        <v>4</v>
      </c>
      <c r="C107" s="260" t="s">
        <v>156</v>
      </c>
      <c r="D107" s="304">
        <f>'[2]CDCM Volume Forecasts'!D107</f>
        <v>0</v>
      </c>
      <c r="E107" s="305">
        <f>'[2]CDCM Volume Forecasts'!E107</f>
        <v>0</v>
      </c>
      <c r="F107" s="305">
        <f>'[2]CDCM Volume Forecasts'!F107</f>
        <v>0</v>
      </c>
      <c r="G107" s="304">
        <f>'[2]CDCM Volume Forecasts'!G107</f>
        <v>0</v>
      </c>
      <c r="H107" s="305">
        <f>'[2]CDCM Volume Forecasts'!H107</f>
        <v>0</v>
      </c>
      <c r="I107" s="305">
        <f>'[2]CDCM Volume Forecasts'!I107</f>
        <v>0</v>
      </c>
      <c r="J107" s="304">
        <f>'[2]CDCM Volume Forecasts'!J107</f>
        <v>0</v>
      </c>
      <c r="K107" s="304">
        <f t="shared" si="44"/>
        <v>0</v>
      </c>
      <c r="L107" s="305">
        <f t="shared" si="45"/>
        <v>0</v>
      </c>
      <c r="M107" s="305">
        <f t="shared" si="46"/>
        <v>0</v>
      </c>
      <c r="N107" s="304">
        <f t="shared" si="47"/>
        <v>0</v>
      </c>
      <c r="O107" s="305">
        <f t="shared" si="48"/>
        <v>0</v>
      </c>
      <c r="P107" s="305"/>
      <c r="Q107" s="304">
        <f t="shared" si="64"/>
        <v>0</v>
      </c>
      <c r="R107" s="304">
        <f t="shared" si="49"/>
        <v>0</v>
      </c>
      <c r="S107" s="305">
        <f t="shared" si="50"/>
        <v>0</v>
      </c>
      <c r="T107" s="305">
        <f t="shared" si="51"/>
        <v>0</v>
      </c>
      <c r="U107" s="304">
        <f t="shared" si="52"/>
        <v>0</v>
      </c>
      <c r="V107" s="305">
        <f t="shared" si="53"/>
        <v>0</v>
      </c>
      <c r="W107" s="305"/>
      <c r="X107" s="304">
        <f t="shared" si="65"/>
        <v>0</v>
      </c>
      <c r="Y107" s="304">
        <f t="shared" si="54"/>
        <v>0</v>
      </c>
      <c r="Z107" s="305">
        <f t="shared" si="55"/>
        <v>0</v>
      </c>
      <c r="AA107" s="305">
        <f t="shared" si="56"/>
        <v>0</v>
      </c>
      <c r="AB107" s="304">
        <f t="shared" si="57"/>
        <v>0</v>
      </c>
      <c r="AC107" s="305">
        <f t="shared" si="58"/>
        <v>0</v>
      </c>
      <c r="AD107" s="305"/>
      <c r="AE107" s="304">
        <f t="shared" si="66"/>
        <v>0</v>
      </c>
      <c r="AF107" s="304">
        <f t="shared" si="59"/>
        <v>0</v>
      </c>
      <c r="AG107" s="305">
        <f t="shared" si="60"/>
        <v>0</v>
      </c>
      <c r="AH107" s="305">
        <f t="shared" si="61"/>
        <v>0</v>
      </c>
      <c r="AI107" s="304">
        <f t="shared" si="62"/>
        <v>0</v>
      </c>
      <c r="AJ107" s="305">
        <f t="shared" si="63"/>
        <v>0</v>
      </c>
      <c r="AK107" s="305"/>
      <c r="AL107" s="304">
        <f t="shared" si="67"/>
        <v>0</v>
      </c>
    </row>
    <row r="108" spans="1:38" ht="15">
      <c r="A108" s="26">
        <f t="shared" si="43"/>
        <v>81</v>
      </c>
      <c r="B108" s="171">
        <v>4</v>
      </c>
      <c r="C108" s="260" t="s">
        <v>157</v>
      </c>
      <c r="D108" s="304">
        <f>'[2]CDCM Volume Forecasts'!D108</f>
        <v>1158.4981509517236</v>
      </c>
      <c r="E108" s="305">
        <f>'[2]CDCM Volume Forecasts'!E108</f>
        <v>0</v>
      </c>
      <c r="F108" s="305">
        <f>'[2]CDCM Volume Forecasts'!F108</f>
        <v>0</v>
      </c>
      <c r="G108" s="304">
        <f>'[2]CDCM Volume Forecasts'!G108</f>
        <v>3.2634739726027386</v>
      </c>
      <c r="H108" s="305">
        <f>'[2]CDCM Volume Forecasts'!H108</f>
        <v>0</v>
      </c>
      <c r="I108" s="305">
        <f>'[2]CDCM Volume Forecasts'!I108</f>
        <v>0</v>
      </c>
      <c r="J108" s="304">
        <f>'[2]CDCM Volume Forecasts'!J108</f>
        <v>14.619248242758623</v>
      </c>
      <c r="K108" s="304">
        <f t="shared" si="44"/>
        <v>1158.4981509517236</v>
      </c>
      <c r="L108" s="305">
        <f t="shared" si="45"/>
        <v>0</v>
      </c>
      <c r="M108" s="305">
        <f t="shared" si="46"/>
        <v>0</v>
      </c>
      <c r="N108" s="304">
        <f t="shared" si="47"/>
        <v>3.2634739726027386</v>
      </c>
      <c r="O108" s="305">
        <f t="shared" si="48"/>
        <v>0</v>
      </c>
      <c r="P108" s="305"/>
      <c r="Q108" s="304">
        <f t="shared" si="64"/>
        <v>14.619248242758623</v>
      </c>
      <c r="R108" s="304">
        <f t="shared" si="49"/>
        <v>1158.4981509517236</v>
      </c>
      <c r="S108" s="305">
        <f t="shared" si="50"/>
        <v>0</v>
      </c>
      <c r="T108" s="305">
        <f t="shared" si="51"/>
        <v>0</v>
      </c>
      <c r="U108" s="304">
        <f t="shared" si="52"/>
        <v>3.2634739726027386</v>
      </c>
      <c r="V108" s="305">
        <f t="shared" si="53"/>
        <v>0</v>
      </c>
      <c r="W108" s="305"/>
      <c r="X108" s="304">
        <f t="shared" si="65"/>
        <v>14.619248242758623</v>
      </c>
      <c r="Y108" s="304">
        <f t="shared" si="54"/>
        <v>1158.4981509517236</v>
      </c>
      <c r="Z108" s="305">
        <f t="shared" si="55"/>
        <v>0</v>
      </c>
      <c r="AA108" s="305">
        <f t="shared" si="56"/>
        <v>0</v>
      </c>
      <c r="AB108" s="304">
        <f t="shared" si="57"/>
        <v>3.2634739726027386</v>
      </c>
      <c r="AC108" s="305">
        <f t="shared" si="58"/>
        <v>0</v>
      </c>
      <c r="AD108" s="305"/>
      <c r="AE108" s="304">
        <f t="shared" si="66"/>
        <v>14.619248242758623</v>
      </c>
      <c r="AF108" s="304">
        <f t="shared" si="59"/>
        <v>1158.4981509517236</v>
      </c>
      <c r="AG108" s="305">
        <f t="shared" si="60"/>
        <v>0</v>
      </c>
      <c r="AH108" s="305">
        <f t="shared" si="61"/>
        <v>0</v>
      </c>
      <c r="AI108" s="304">
        <f t="shared" si="62"/>
        <v>3.2634739726027386</v>
      </c>
      <c r="AJ108" s="305">
        <f t="shared" si="63"/>
        <v>0</v>
      </c>
      <c r="AK108" s="305"/>
      <c r="AL108" s="304">
        <f t="shared" si="67"/>
        <v>14.619248242758623</v>
      </c>
    </row>
    <row r="109" spans="1:38" ht="15">
      <c r="A109" s="26">
        <f t="shared" si="43"/>
        <v>82</v>
      </c>
      <c r="B109" s="171"/>
      <c r="C109" s="259" t="s">
        <v>1559</v>
      </c>
      <c r="D109" s="303">
        <f>'[2]CDCM Volume Forecasts'!D109</f>
        <v>0</v>
      </c>
      <c r="E109" s="303">
        <f>'[2]CDCM Volume Forecasts'!E109</f>
        <v>0</v>
      </c>
      <c r="F109" s="303">
        <f>'[2]CDCM Volume Forecasts'!F109</f>
        <v>0</v>
      </c>
      <c r="G109" s="303">
        <f>'[2]CDCM Volume Forecasts'!G109</f>
        <v>0</v>
      </c>
      <c r="H109" s="303">
        <f>'[2]CDCM Volume Forecasts'!H109</f>
        <v>0</v>
      </c>
      <c r="I109" s="303">
        <f>'[2]CDCM Volume Forecasts'!I109</f>
        <v>0</v>
      </c>
      <c r="J109" s="303">
        <f>'[2]CDCM Volume Forecasts'!J109</f>
        <v>0</v>
      </c>
      <c r="K109" s="303">
        <f t="shared" si="44"/>
        <v>0</v>
      </c>
      <c r="L109" s="303">
        <f t="shared" si="45"/>
        <v>0</v>
      </c>
      <c r="M109" s="303">
        <f t="shared" si="46"/>
        <v>0</v>
      </c>
      <c r="N109" s="303">
        <f t="shared" si="47"/>
        <v>0</v>
      </c>
      <c r="O109" s="303">
        <f t="shared" si="48"/>
        <v>0</v>
      </c>
      <c r="P109" s="303"/>
      <c r="Q109" s="303"/>
      <c r="R109" s="303">
        <f t="shared" si="49"/>
        <v>0</v>
      </c>
      <c r="S109" s="303">
        <f t="shared" si="50"/>
        <v>0</v>
      </c>
      <c r="T109" s="303">
        <f t="shared" si="51"/>
        <v>0</v>
      </c>
      <c r="U109" s="303">
        <f t="shared" si="52"/>
        <v>0</v>
      </c>
      <c r="V109" s="303">
        <f t="shared" si="53"/>
        <v>0</v>
      </c>
      <c r="W109" s="303"/>
      <c r="X109" s="303"/>
      <c r="Y109" s="303">
        <f t="shared" si="54"/>
        <v>0</v>
      </c>
      <c r="Z109" s="303">
        <f t="shared" si="55"/>
        <v>0</v>
      </c>
      <c r="AA109" s="303">
        <f t="shared" si="56"/>
        <v>0</v>
      </c>
      <c r="AB109" s="303">
        <f t="shared" si="57"/>
        <v>0</v>
      </c>
      <c r="AC109" s="303">
        <f t="shared" si="58"/>
        <v>0</v>
      </c>
      <c r="AD109" s="303"/>
      <c r="AE109" s="303"/>
      <c r="AF109" s="303">
        <f t="shared" si="59"/>
        <v>0</v>
      </c>
      <c r="AG109" s="303">
        <f t="shared" si="60"/>
        <v>0</v>
      </c>
      <c r="AH109" s="303">
        <f t="shared" si="61"/>
        <v>0</v>
      </c>
      <c r="AI109" s="303">
        <f t="shared" si="62"/>
        <v>0</v>
      </c>
      <c r="AJ109" s="303">
        <f t="shared" si="63"/>
        <v>0</v>
      </c>
      <c r="AK109" s="303"/>
      <c r="AL109" s="303"/>
    </row>
    <row r="110" spans="1:38" ht="15">
      <c r="A110" s="26">
        <f t="shared" si="43"/>
        <v>83</v>
      </c>
      <c r="B110" s="171">
        <v>4</v>
      </c>
      <c r="C110" s="260" t="s">
        <v>1516</v>
      </c>
      <c r="D110" s="304">
        <f>'[2]CDCM Volume Forecasts'!D110</f>
        <v>0</v>
      </c>
      <c r="E110" s="305">
        <f>'[2]CDCM Volume Forecasts'!E110</f>
        <v>0</v>
      </c>
      <c r="F110" s="305">
        <f>'[2]CDCM Volume Forecasts'!F110</f>
        <v>0</v>
      </c>
      <c r="G110" s="304">
        <f>'[2]CDCM Volume Forecasts'!G110</f>
        <v>0</v>
      </c>
      <c r="H110" s="305">
        <f>'[2]CDCM Volume Forecasts'!H110</f>
        <v>0</v>
      </c>
      <c r="I110" s="305">
        <f>'[2]CDCM Volume Forecasts'!I110</f>
        <v>0</v>
      </c>
      <c r="J110" s="305">
        <f>'[2]CDCM Volume Forecasts'!J110</f>
        <v>0</v>
      </c>
      <c r="K110" s="304">
        <f t="shared" si="44"/>
        <v>0</v>
      </c>
      <c r="L110" s="305">
        <f t="shared" si="45"/>
        <v>0</v>
      </c>
      <c r="M110" s="305">
        <f t="shared" si="46"/>
        <v>0</v>
      </c>
      <c r="N110" s="304">
        <f t="shared" si="47"/>
        <v>0</v>
      </c>
      <c r="O110" s="305">
        <f t="shared" si="48"/>
        <v>0</v>
      </c>
      <c r="P110" s="305"/>
      <c r="Q110" s="305"/>
      <c r="R110" s="304">
        <f t="shared" si="49"/>
        <v>0</v>
      </c>
      <c r="S110" s="305">
        <f t="shared" si="50"/>
        <v>0</v>
      </c>
      <c r="T110" s="305">
        <f t="shared" si="51"/>
        <v>0</v>
      </c>
      <c r="U110" s="304">
        <f t="shared" si="52"/>
        <v>0</v>
      </c>
      <c r="V110" s="305">
        <f t="shared" si="53"/>
        <v>0</v>
      </c>
      <c r="W110" s="305"/>
      <c r="X110" s="305"/>
      <c r="Y110" s="304">
        <f t="shared" si="54"/>
        <v>0</v>
      </c>
      <c r="Z110" s="305">
        <f t="shared" si="55"/>
        <v>0</v>
      </c>
      <c r="AA110" s="305">
        <f t="shared" si="56"/>
        <v>0</v>
      </c>
      <c r="AB110" s="304">
        <f t="shared" si="57"/>
        <v>0</v>
      </c>
      <c r="AC110" s="305">
        <f t="shared" si="58"/>
        <v>0</v>
      </c>
      <c r="AD110" s="305"/>
      <c r="AE110" s="305"/>
      <c r="AF110" s="304">
        <f t="shared" si="59"/>
        <v>0</v>
      </c>
      <c r="AG110" s="305">
        <f t="shared" si="60"/>
        <v>0</v>
      </c>
      <c r="AH110" s="305">
        <f t="shared" si="61"/>
        <v>0</v>
      </c>
      <c r="AI110" s="304">
        <f t="shared" si="62"/>
        <v>0</v>
      </c>
      <c r="AJ110" s="305">
        <f t="shared" si="63"/>
        <v>0</v>
      </c>
      <c r="AK110" s="305"/>
      <c r="AL110" s="305"/>
    </row>
    <row r="111" spans="1:38" ht="15">
      <c r="A111" s="26">
        <f t="shared" si="43"/>
        <v>84</v>
      </c>
      <c r="B111" s="171"/>
      <c r="C111" s="259" t="s">
        <v>158</v>
      </c>
      <c r="D111" s="303">
        <f>'[2]CDCM Volume Forecasts'!D111</f>
        <v>0</v>
      </c>
      <c r="E111" s="303">
        <f>'[2]CDCM Volume Forecasts'!E111</f>
        <v>0</v>
      </c>
      <c r="F111" s="303">
        <f>'[2]CDCM Volume Forecasts'!F111</f>
        <v>0</v>
      </c>
      <c r="G111" s="303">
        <f>'[2]CDCM Volume Forecasts'!G111</f>
        <v>0</v>
      </c>
      <c r="H111" s="303">
        <f>'[2]CDCM Volume Forecasts'!H111</f>
        <v>0</v>
      </c>
      <c r="I111" s="303">
        <f>'[2]CDCM Volume Forecasts'!I111</f>
        <v>0</v>
      </c>
      <c r="J111" s="303">
        <f>'[2]CDCM Volume Forecasts'!J111</f>
        <v>0</v>
      </c>
      <c r="K111" s="303">
        <f t="shared" si="44"/>
        <v>0</v>
      </c>
      <c r="L111" s="303">
        <f t="shared" si="45"/>
        <v>0</v>
      </c>
      <c r="M111" s="303">
        <f t="shared" si="46"/>
        <v>0</v>
      </c>
      <c r="N111" s="303">
        <f t="shared" si="47"/>
        <v>0</v>
      </c>
      <c r="O111" s="303">
        <f t="shared" si="48"/>
        <v>0</v>
      </c>
      <c r="P111" s="303"/>
      <c r="Q111" s="303"/>
      <c r="R111" s="303">
        <f t="shared" si="49"/>
        <v>0</v>
      </c>
      <c r="S111" s="303">
        <f t="shared" si="50"/>
        <v>0</v>
      </c>
      <c r="T111" s="303">
        <f t="shared" si="51"/>
        <v>0</v>
      </c>
      <c r="U111" s="303">
        <f t="shared" si="52"/>
        <v>0</v>
      </c>
      <c r="V111" s="303">
        <f t="shared" si="53"/>
        <v>0</v>
      </c>
      <c r="W111" s="303"/>
      <c r="X111" s="303"/>
      <c r="Y111" s="303">
        <f t="shared" si="54"/>
        <v>0</v>
      </c>
      <c r="Z111" s="303">
        <f t="shared" si="55"/>
        <v>0</v>
      </c>
      <c r="AA111" s="303">
        <f t="shared" si="56"/>
        <v>0</v>
      </c>
      <c r="AB111" s="303">
        <f t="shared" si="57"/>
        <v>0</v>
      </c>
      <c r="AC111" s="303">
        <f t="shared" si="58"/>
        <v>0</v>
      </c>
      <c r="AD111" s="303"/>
      <c r="AE111" s="303"/>
      <c r="AF111" s="303">
        <f t="shared" si="59"/>
        <v>0</v>
      </c>
      <c r="AG111" s="303">
        <f t="shared" si="60"/>
        <v>0</v>
      </c>
      <c r="AH111" s="303">
        <f t="shared" si="61"/>
        <v>0</v>
      </c>
      <c r="AI111" s="303">
        <f t="shared" si="62"/>
        <v>0</v>
      </c>
      <c r="AJ111" s="303">
        <f t="shared" si="63"/>
        <v>0</v>
      </c>
      <c r="AK111" s="303"/>
      <c r="AL111" s="303"/>
    </row>
    <row r="112" spans="1:38" ht="15">
      <c r="A112" s="26">
        <f t="shared" si="43"/>
        <v>85</v>
      </c>
      <c r="B112" s="171">
        <v>4</v>
      </c>
      <c r="C112" s="260" t="s">
        <v>64</v>
      </c>
      <c r="D112" s="304">
        <f>'[2]CDCM Volume Forecasts'!D112</f>
        <v>150.22435028789201</v>
      </c>
      <c r="E112" s="304">
        <f>'[2]CDCM Volume Forecasts'!E112</f>
        <v>933.01718610068747</v>
      </c>
      <c r="F112" s="304">
        <f>'[2]CDCM Volume Forecasts'!F112</f>
        <v>1215.9778554005959</v>
      </c>
      <c r="G112" s="304">
        <f>'[2]CDCM Volume Forecasts'!G112</f>
        <v>16.428914383561644</v>
      </c>
      <c r="H112" s="305">
        <f>'[2]CDCM Volume Forecasts'!H112</f>
        <v>0</v>
      </c>
      <c r="I112" s="305">
        <f>'[2]CDCM Volume Forecasts'!I112</f>
        <v>0</v>
      </c>
      <c r="J112" s="304">
        <f>'[2]CDCM Volume Forecasts'!J112</f>
        <v>631.56368132758632</v>
      </c>
      <c r="K112" s="304">
        <f t="shared" si="44"/>
        <v>150.22435028789201</v>
      </c>
      <c r="L112" s="304">
        <f t="shared" si="45"/>
        <v>933.01718610068747</v>
      </c>
      <c r="M112" s="304">
        <f t="shared" si="46"/>
        <v>1215.9778554005959</v>
      </c>
      <c r="N112" s="304">
        <f t="shared" si="47"/>
        <v>16.428914383561644</v>
      </c>
      <c r="O112" s="305">
        <f t="shared" si="48"/>
        <v>0</v>
      </c>
      <c r="P112" s="305"/>
      <c r="Q112" s="304">
        <f t="shared" ref="Q112:Q114" si="68">IF(J112,((VLOOKUP($B112,$E$7:$AI$16,28)+1)*J112),)</f>
        <v>631.56368132758632</v>
      </c>
      <c r="R112" s="304">
        <f t="shared" si="49"/>
        <v>150.22435028789201</v>
      </c>
      <c r="S112" s="304">
        <f t="shared" si="50"/>
        <v>933.01718610068747</v>
      </c>
      <c r="T112" s="304">
        <f t="shared" si="51"/>
        <v>1215.9778554005959</v>
      </c>
      <c r="U112" s="304">
        <f t="shared" si="52"/>
        <v>16.428914383561644</v>
      </c>
      <c r="V112" s="305">
        <f t="shared" si="53"/>
        <v>0</v>
      </c>
      <c r="W112" s="305"/>
      <c r="X112" s="304">
        <f t="shared" ref="X112:X114" si="69">IF(J112,((VLOOKUP($B112,$E$7:$AI$16,5+24)+1)*Q112),)</f>
        <v>631.56368132758632</v>
      </c>
      <c r="Y112" s="304">
        <f t="shared" si="54"/>
        <v>150.22435028789201</v>
      </c>
      <c r="Z112" s="304">
        <f t="shared" si="55"/>
        <v>933.01718610068747</v>
      </c>
      <c r="AA112" s="304">
        <f t="shared" si="56"/>
        <v>1215.9778554005959</v>
      </c>
      <c r="AB112" s="304">
        <f t="shared" si="57"/>
        <v>16.428914383561644</v>
      </c>
      <c r="AC112" s="305">
        <f t="shared" si="58"/>
        <v>0</v>
      </c>
      <c r="AD112" s="305"/>
      <c r="AE112" s="304">
        <f t="shared" ref="AE112:AE114" si="70">IF(J112,((VLOOKUP($B112,$E$7:$AI$16,6+24)+1)*X112),)</f>
        <v>631.56368132758632</v>
      </c>
      <c r="AF112" s="304">
        <f t="shared" si="59"/>
        <v>150.22435028789201</v>
      </c>
      <c r="AG112" s="304">
        <f t="shared" si="60"/>
        <v>933.01718610068747</v>
      </c>
      <c r="AH112" s="304">
        <f t="shared" si="61"/>
        <v>1215.9778554005959</v>
      </c>
      <c r="AI112" s="304">
        <f t="shared" si="62"/>
        <v>16.428914383561644</v>
      </c>
      <c r="AJ112" s="305">
        <f t="shared" si="63"/>
        <v>0</v>
      </c>
      <c r="AK112" s="305"/>
      <c r="AL112" s="304">
        <f t="shared" ref="AL112:AL113" si="71">IF(J112,((VLOOKUP($B112,$E$7:$AI$16,7+24)+1)*AE112),)</f>
        <v>631.56368132758632</v>
      </c>
    </row>
    <row r="113" spans="1:38" ht="15">
      <c r="A113" s="26">
        <f t="shared" si="43"/>
        <v>86</v>
      </c>
      <c r="B113" s="171">
        <v>4</v>
      </c>
      <c r="C113" s="260" t="s">
        <v>159</v>
      </c>
      <c r="D113" s="304">
        <f>'[2]CDCM Volume Forecasts'!D113</f>
        <v>0</v>
      </c>
      <c r="E113" s="304">
        <f>'[2]CDCM Volume Forecasts'!E113</f>
        <v>0</v>
      </c>
      <c r="F113" s="304">
        <f>'[2]CDCM Volume Forecasts'!F113</f>
        <v>0</v>
      </c>
      <c r="G113" s="304">
        <f>'[2]CDCM Volume Forecasts'!G113</f>
        <v>0</v>
      </c>
      <c r="H113" s="305">
        <f>'[2]CDCM Volume Forecasts'!H113</f>
        <v>0</v>
      </c>
      <c r="I113" s="305">
        <f>'[2]CDCM Volume Forecasts'!I113</f>
        <v>0</v>
      </c>
      <c r="J113" s="304">
        <f>'[2]CDCM Volume Forecasts'!J113</f>
        <v>0</v>
      </c>
      <c r="K113" s="304">
        <f t="shared" si="44"/>
        <v>0</v>
      </c>
      <c r="L113" s="304">
        <f t="shared" si="45"/>
        <v>0</v>
      </c>
      <c r="M113" s="304">
        <f t="shared" si="46"/>
        <v>0</v>
      </c>
      <c r="N113" s="304">
        <f t="shared" si="47"/>
        <v>0</v>
      </c>
      <c r="O113" s="305">
        <f t="shared" si="48"/>
        <v>0</v>
      </c>
      <c r="P113" s="305"/>
      <c r="Q113" s="304">
        <f t="shared" si="68"/>
        <v>0</v>
      </c>
      <c r="R113" s="304">
        <f t="shared" si="49"/>
        <v>0</v>
      </c>
      <c r="S113" s="304">
        <f t="shared" si="50"/>
        <v>0</v>
      </c>
      <c r="T113" s="304">
        <f t="shared" si="51"/>
        <v>0</v>
      </c>
      <c r="U113" s="304">
        <f t="shared" si="52"/>
        <v>0</v>
      </c>
      <c r="V113" s="305">
        <f t="shared" si="53"/>
        <v>0</v>
      </c>
      <c r="W113" s="305"/>
      <c r="X113" s="304">
        <f t="shared" si="69"/>
        <v>0</v>
      </c>
      <c r="Y113" s="304">
        <f t="shared" si="54"/>
        <v>0</v>
      </c>
      <c r="Z113" s="304">
        <f t="shared" si="55"/>
        <v>0</v>
      </c>
      <c r="AA113" s="304">
        <f t="shared" si="56"/>
        <v>0</v>
      </c>
      <c r="AB113" s="304">
        <f t="shared" si="57"/>
        <v>0</v>
      </c>
      <c r="AC113" s="305">
        <f t="shared" si="58"/>
        <v>0</v>
      </c>
      <c r="AD113" s="305"/>
      <c r="AE113" s="304">
        <f t="shared" si="70"/>
        <v>0</v>
      </c>
      <c r="AF113" s="304">
        <f t="shared" si="59"/>
        <v>0</v>
      </c>
      <c r="AG113" s="304">
        <f t="shared" si="60"/>
        <v>0</v>
      </c>
      <c r="AH113" s="304">
        <f t="shared" si="61"/>
        <v>0</v>
      </c>
      <c r="AI113" s="304">
        <f t="shared" si="62"/>
        <v>0</v>
      </c>
      <c r="AJ113" s="305">
        <f t="shared" si="63"/>
        <v>0</v>
      </c>
      <c r="AK113" s="305"/>
      <c r="AL113" s="304">
        <f t="shared" si="71"/>
        <v>0</v>
      </c>
    </row>
    <row r="114" spans="1:38" ht="15">
      <c r="A114" s="26">
        <f t="shared" si="43"/>
        <v>87</v>
      </c>
      <c r="B114" s="171">
        <v>4</v>
      </c>
      <c r="C114" s="260" t="s">
        <v>160</v>
      </c>
      <c r="D114" s="304">
        <f>'[2]CDCM Volume Forecasts'!D114</f>
        <v>0</v>
      </c>
      <c r="E114" s="304">
        <f>'[2]CDCM Volume Forecasts'!E114</f>
        <v>0</v>
      </c>
      <c r="F114" s="304">
        <f>'[2]CDCM Volume Forecasts'!F114</f>
        <v>0</v>
      </c>
      <c r="G114" s="304">
        <f>'[2]CDCM Volume Forecasts'!G114</f>
        <v>0</v>
      </c>
      <c r="H114" s="305">
        <f>'[2]CDCM Volume Forecasts'!H114</f>
        <v>0</v>
      </c>
      <c r="I114" s="305">
        <f>'[2]CDCM Volume Forecasts'!I114</f>
        <v>0</v>
      </c>
      <c r="J114" s="304">
        <f>'[2]CDCM Volume Forecasts'!J114</f>
        <v>0</v>
      </c>
      <c r="K114" s="304">
        <f t="shared" si="44"/>
        <v>0</v>
      </c>
      <c r="L114" s="304">
        <f t="shared" si="45"/>
        <v>0</v>
      </c>
      <c r="M114" s="304">
        <f t="shared" si="46"/>
        <v>0</v>
      </c>
      <c r="N114" s="304">
        <f t="shared" si="47"/>
        <v>0</v>
      </c>
      <c r="O114" s="305">
        <f t="shared" si="48"/>
        <v>0</v>
      </c>
      <c r="P114" s="305"/>
      <c r="Q114" s="304">
        <f t="shared" si="68"/>
        <v>0</v>
      </c>
      <c r="R114" s="304">
        <f t="shared" si="49"/>
        <v>0</v>
      </c>
      <c r="S114" s="304">
        <f t="shared" si="50"/>
        <v>0</v>
      </c>
      <c r="T114" s="304">
        <f t="shared" si="51"/>
        <v>0</v>
      </c>
      <c r="U114" s="304">
        <f t="shared" si="52"/>
        <v>0</v>
      </c>
      <c r="V114" s="305">
        <f t="shared" si="53"/>
        <v>0</v>
      </c>
      <c r="W114" s="305"/>
      <c r="X114" s="304">
        <f t="shared" si="69"/>
        <v>0</v>
      </c>
      <c r="Y114" s="304">
        <f t="shared" si="54"/>
        <v>0</v>
      </c>
      <c r="Z114" s="304">
        <f t="shared" si="55"/>
        <v>0</v>
      </c>
      <c r="AA114" s="304">
        <f t="shared" si="56"/>
        <v>0</v>
      </c>
      <c r="AB114" s="304">
        <f t="shared" si="57"/>
        <v>0</v>
      </c>
      <c r="AC114" s="305">
        <f t="shared" si="58"/>
        <v>0</v>
      </c>
      <c r="AD114" s="305"/>
      <c r="AE114" s="304">
        <f t="shared" si="70"/>
        <v>0</v>
      </c>
      <c r="AF114" s="304">
        <f t="shared" si="59"/>
        <v>0</v>
      </c>
      <c r="AG114" s="304">
        <f t="shared" si="60"/>
        <v>0</v>
      </c>
      <c r="AH114" s="304">
        <f t="shared" si="61"/>
        <v>0</v>
      </c>
      <c r="AI114" s="304">
        <f t="shared" si="62"/>
        <v>0</v>
      </c>
      <c r="AJ114" s="305">
        <f t="shared" si="63"/>
        <v>0</v>
      </c>
      <c r="AK114" s="305"/>
      <c r="AL114" s="304">
        <f>IF(J114,((VLOOKUP($B114,$E$7:$AI$16,7+24)+1)*AE114),)</f>
        <v>0</v>
      </c>
    </row>
    <row r="115" spans="1:38" ht="15">
      <c r="A115" s="26">
        <f t="shared" si="43"/>
        <v>88</v>
      </c>
      <c r="B115" s="171"/>
      <c r="C115" s="259" t="s">
        <v>1560</v>
      </c>
      <c r="D115" s="303">
        <f>'[2]CDCM Volume Forecasts'!D115</f>
        <v>0</v>
      </c>
      <c r="E115" s="303">
        <f>'[2]CDCM Volume Forecasts'!E115</f>
        <v>0</v>
      </c>
      <c r="F115" s="303">
        <f>'[2]CDCM Volume Forecasts'!F115</f>
        <v>0</v>
      </c>
      <c r="G115" s="303">
        <f>'[2]CDCM Volume Forecasts'!G115</f>
        <v>0</v>
      </c>
      <c r="H115" s="303">
        <f>'[2]CDCM Volume Forecasts'!H115</f>
        <v>0</v>
      </c>
      <c r="I115" s="303">
        <f>'[2]CDCM Volume Forecasts'!I115</f>
        <v>0</v>
      </c>
      <c r="J115" s="303">
        <f>'[2]CDCM Volume Forecasts'!J115</f>
        <v>0</v>
      </c>
      <c r="K115" s="303">
        <f t="shared" si="44"/>
        <v>0</v>
      </c>
      <c r="L115" s="303">
        <f t="shared" si="45"/>
        <v>0</v>
      </c>
      <c r="M115" s="303">
        <f t="shared" si="46"/>
        <v>0</v>
      </c>
      <c r="N115" s="303">
        <f t="shared" si="47"/>
        <v>0</v>
      </c>
      <c r="O115" s="303">
        <f t="shared" si="48"/>
        <v>0</v>
      </c>
      <c r="P115" s="303"/>
      <c r="Q115" s="303"/>
      <c r="R115" s="303">
        <f t="shared" si="49"/>
        <v>0</v>
      </c>
      <c r="S115" s="303">
        <f t="shared" si="50"/>
        <v>0</v>
      </c>
      <c r="T115" s="303">
        <f t="shared" si="51"/>
        <v>0</v>
      </c>
      <c r="U115" s="303">
        <f t="shared" si="52"/>
        <v>0</v>
      </c>
      <c r="V115" s="303">
        <f t="shared" si="53"/>
        <v>0</v>
      </c>
      <c r="W115" s="303"/>
      <c r="X115" s="303"/>
      <c r="Y115" s="303">
        <f t="shared" si="54"/>
        <v>0</v>
      </c>
      <c r="Z115" s="303">
        <f t="shared" si="55"/>
        <v>0</v>
      </c>
      <c r="AA115" s="303">
        <f t="shared" si="56"/>
        <v>0</v>
      </c>
      <c r="AB115" s="303">
        <f t="shared" si="57"/>
        <v>0</v>
      </c>
      <c r="AC115" s="303">
        <f t="shared" si="58"/>
        <v>0</v>
      </c>
      <c r="AD115" s="303"/>
      <c r="AE115" s="303"/>
      <c r="AF115" s="303">
        <f t="shared" si="59"/>
        <v>0</v>
      </c>
      <c r="AG115" s="303">
        <f t="shared" si="60"/>
        <v>0</v>
      </c>
      <c r="AH115" s="303">
        <f t="shared" si="61"/>
        <v>0</v>
      </c>
      <c r="AI115" s="303">
        <f t="shared" si="62"/>
        <v>0</v>
      </c>
      <c r="AJ115" s="303">
        <f t="shared" si="63"/>
        <v>0</v>
      </c>
      <c r="AK115" s="303"/>
      <c r="AL115" s="303"/>
    </row>
    <row r="116" spans="1:38" ht="15">
      <c r="A116" s="26">
        <f t="shared" si="43"/>
        <v>89</v>
      </c>
      <c r="B116" s="171">
        <v>4</v>
      </c>
      <c r="C116" s="260" t="s">
        <v>1517</v>
      </c>
      <c r="D116" s="304">
        <f>'[2]CDCM Volume Forecasts'!D116</f>
        <v>0</v>
      </c>
      <c r="E116" s="304">
        <f>'[2]CDCM Volume Forecasts'!E116</f>
        <v>0</v>
      </c>
      <c r="F116" s="304">
        <f>'[2]CDCM Volume Forecasts'!F116</f>
        <v>0</v>
      </c>
      <c r="G116" s="304">
        <f>'[2]CDCM Volume Forecasts'!G116</f>
        <v>0</v>
      </c>
      <c r="H116" s="305">
        <f>'[2]CDCM Volume Forecasts'!H116</f>
        <v>0</v>
      </c>
      <c r="I116" s="305">
        <f>'[2]CDCM Volume Forecasts'!I116</f>
        <v>0</v>
      </c>
      <c r="J116" s="305">
        <f>'[2]CDCM Volume Forecasts'!J116</f>
        <v>0</v>
      </c>
      <c r="K116" s="304">
        <f t="shared" si="44"/>
        <v>0</v>
      </c>
      <c r="L116" s="304">
        <f t="shared" si="45"/>
        <v>0</v>
      </c>
      <c r="M116" s="304">
        <f t="shared" si="46"/>
        <v>0</v>
      </c>
      <c r="N116" s="304">
        <f t="shared" si="47"/>
        <v>0</v>
      </c>
      <c r="O116" s="305">
        <f t="shared" si="48"/>
        <v>0</v>
      </c>
      <c r="P116" s="305"/>
      <c r="Q116" s="305"/>
      <c r="R116" s="304">
        <f t="shared" si="49"/>
        <v>0</v>
      </c>
      <c r="S116" s="304">
        <f t="shared" si="50"/>
        <v>0</v>
      </c>
      <c r="T116" s="304">
        <f t="shared" si="51"/>
        <v>0</v>
      </c>
      <c r="U116" s="304">
        <f t="shared" si="52"/>
        <v>0</v>
      </c>
      <c r="V116" s="305">
        <f t="shared" si="53"/>
        <v>0</v>
      </c>
      <c r="W116" s="305"/>
      <c r="X116" s="305"/>
      <c r="Y116" s="304">
        <f t="shared" si="54"/>
        <v>0</v>
      </c>
      <c r="Z116" s="304">
        <f t="shared" si="55"/>
        <v>0</v>
      </c>
      <c r="AA116" s="304">
        <f t="shared" si="56"/>
        <v>0</v>
      </c>
      <c r="AB116" s="304">
        <f t="shared" si="57"/>
        <v>0</v>
      </c>
      <c r="AC116" s="305">
        <f t="shared" si="58"/>
        <v>0</v>
      </c>
      <c r="AD116" s="305"/>
      <c r="AE116" s="305"/>
      <c r="AF116" s="304">
        <f t="shared" si="59"/>
        <v>0</v>
      </c>
      <c r="AG116" s="304">
        <f t="shared" si="60"/>
        <v>0</v>
      </c>
      <c r="AH116" s="304">
        <f t="shared" si="61"/>
        <v>0</v>
      </c>
      <c r="AI116" s="304">
        <f t="shared" si="62"/>
        <v>0</v>
      </c>
      <c r="AJ116" s="305">
        <f t="shared" si="63"/>
        <v>0</v>
      </c>
      <c r="AK116" s="305"/>
      <c r="AL116" s="305"/>
    </row>
    <row r="117" spans="1:38" ht="15">
      <c r="A117" s="26">
        <f t="shared" si="43"/>
        <v>90</v>
      </c>
      <c r="B117" s="171"/>
      <c r="C117" s="259" t="s">
        <v>161</v>
      </c>
      <c r="D117" s="303">
        <f>'[2]CDCM Volume Forecasts'!D117</f>
        <v>0</v>
      </c>
      <c r="E117" s="303">
        <f>'[2]CDCM Volume Forecasts'!E117</f>
        <v>0</v>
      </c>
      <c r="F117" s="303">
        <f>'[2]CDCM Volume Forecasts'!F117</f>
        <v>0</v>
      </c>
      <c r="G117" s="303">
        <f>'[2]CDCM Volume Forecasts'!G117</f>
        <v>0</v>
      </c>
      <c r="H117" s="303">
        <f>'[2]CDCM Volume Forecasts'!H117</f>
        <v>0</v>
      </c>
      <c r="I117" s="303">
        <f>'[2]CDCM Volume Forecasts'!I117</f>
        <v>0</v>
      </c>
      <c r="J117" s="303">
        <f>'[2]CDCM Volume Forecasts'!J117</f>
        <v>0</v>
      </c>
      <c r="K117" s="303">
        <f t="shared" si="44"/>
        <v>0</v>
      </c>
      <c r="L117" s="303">
        <f t="shared" si="45"/>
        <v>0</v>
      </c>
      <c r="M117" s="303">
        <f t="shared" si="46"/>
        <v>0</v>
      </c>
      <c r="N117" s="303">
        <f t="shared" si="47"/>
        <v>0</v>
      </c>
      <c r="O117" s="303">
        <f t="shared" si="48"/>
        <v>0</v>
      </c>
      <c r="P117" s="303"/>
      <c r="Q117" s="303"/>
      <c r="R117" s="303">
        <f t="shared" si="49"/>
        <v>0</v>
      </c>
      <c r="S117" s="303">
        <f t="shared" si="50"/>
        <v>0</v>
      </c>
      <c r="T117" s="303">
        <f t="shared" si="51"/>
        <v>0</v>
      </c>
      <c r="U117" s="303">
        <f t="shared" si="52"/>
        <v>0</v>
      </c>
      <c r="V117" s="303">
        <f t="shared" si="53"/>
        <v>0</v>
      </c>
      <c r="W117" s="303"/>
      <c r="X117" s="303"/>
      <c r="Y117" s="303">
        <f t="shared" si="54"/>
        <v>0</v>
      </c>
      <c r="Z117" s="303">
        <f t="shared" si="55"/>
        <v>0</v>
      </c>
      <c r="AA117" s="303">
        <f t="shared" si="56"/>
        <v>0</v>
      </c>
      <c r="AB117" s="303">
        <f t="shared" si="57"/>
        <v>0</v>
      </c>
      <c r="AC117" s="303">
        <f t="shared" si="58"/>
        <v>0</v>
      </c>
      <c r="AD117" s="303"/>
      <c r="AE117" s="303"/>
      <c r="AF117" s="303">
        <f t="shared" si="59"/>
        <v>0</v>
      </c>
      <c r="AG117" s="303">
        <f t="shared" si="60"/>
        <v>0</v>
      </c>
      <c r="AH117" s="303">
        <f t="shared" si="61"/>
        <v>0</v>
      </c>
      <c r="AI117" s="303">
        <f t="shared" si="62"/>
        <v>0</v>
      </c>
      <c r="AJ117" s="303">
        <f t="shared" si="63"/>
        <v>0</v>
      </c>
      <c r="AK117" s="303"/>
      <c r="AL117" s="303"/>
    </row>
    <row r="118" spans="1:38" ht="15">
      <c r="A118" s="26">
        <f t="shared" si="43"/>
        <v>91</v>
      </c>
      <c r="B118" s="171">
        <v>4</v>
      </c>
      <c r="C118" s="260" t="s">
        <v>65</v>
      </c>
      <c r="D118" s="304">
        <f>'[2]CDCM Volume Forecasts'!D118</f>
        <v>13040.742602439654</v>
      </c>
      <c r="E118" s="305">
        <f>'[2]CDCM Volume Forecasts'!E118</f>
        <v>0</v>
      </c>
      <c r="F118" s="305">
        <f>'[2]CDCM Volume Forecasts'!F118</f>
        <v>0</v>
      </c>
      <c r="G118" s="304">
        <f>'[2]CDCM Volume Forecasts'!G118</f>
        <v>121.63811301369863</v>
      </c>
      <c r="H118" s="305">
        <f>'[2]CDCM Volume Forecasts'!H118</f>
        <v>0</v>
      </c>
      <c r="I118" s="305">
        <f>'[2]CDCM Volume Forecasts'!I118</f>
        <v>0</v>
      </c>
      <c r="J118" s="304">
        <f>'[2]CDCM Volume Forecasts'!J118</f>
        <v>1632.6222186810344</v>
      </c>
      <c r="K118" s="304">
        <f t="shared" si="44"/>
        <v>13040.742602439654</v>
      </c>
      <c r="L118" s="305">
        <f t="shared" si="45"/>
        <v>0</v>
      </c>
      <c r="M118" s="305">
        <f t="shared" si="46"/>
        <v>0</v>
      </c>
      <c r="N118" s="304">
        <f t="shared" si="47"/>
        <v>121.63811301369863</v>
      </c>
      <c r="O118" s="305">
        <f t="shared" si="48"/>
        <v>0</v>
      </c>
      <c r="P118" s="305"/>
      <c r="Q118" s="304">
        <f t="shared" ref="Q118:Q119" si="72">IF(J118,((VLOOKUP($B118,$E$7:$AI$16,28)+1)*J118),)</f>
        <v>1632.6222186810344</v>
      </c>
      <c r="R118" s="304">
        <f t="shared" si="49"/>
        <v>13040.742602439654</v>
      </c>
      <c r="S118" s="305">
        <f t="shared" si="50"/>
        <v>0</v>
      </c>
      <c r="T118" s="305">
        <f t="shared" si="51"/>
        <v>0</v>
      </c>
      <c r="U118" s="304">
        <f t="shared" si="52"/>
        <v>121.63811301369863</v>
      </c>
      <c r="V118" s="305">
        <f t="shared" si="53"/>
        <v>0</v>
      </c>
      <c r="W118" s="305"/>
      <c r="X118" s="304">
        <f t="shared" ref="X118:X119" si="73">IF(J118,((VLOOKUP($B118,$E$7:$AI$16,5+24)+1)*Q118),)</f>
        <v>1632.6222186810344</v>
      </c>
      <c r="Y118" s="304">
        <f t="shared" si="54"/>
        <v>13040.742602439654</v>
      </c>
      <c r="Z118" s="305">
        <f t="shared" si="55"/>
        <v>0</v>
      </c>
      <c r="AA118" s="305">
        <f t="shared" si="56"/>
        <v>0</v>
      </c>
      <c r="AB118" s="304">
        <f t="shared" si="57"/>
        <v>121.63811301369863</v>
      </c>
      <c r="AC118" s="305">
        <f t="shared" si="58"/>
        <v>0</v>
      </c>
      <c r="AD118" s="305"/>
      <c r="AE118" s="304">
        <f t="shared" ref="AE118:AE119" si="74">IF(J118,((VLOOKUP($B118,$E$7:$AI$16,6+24)+1)*X118),)</f>
        <v>1632.6222186810344</v>
      </c>
      <c r="AF118" s="304">
        <f t="shared" si="59"/>
        <v>13040.742602439654</v>
      </c>
      <c r="AG118" s="305">
        <f t="shared" si="60"/>
        <v>0</v>
      </c>
      <c r="AH118" s="305">
        <f t="shared" si="61"/>
        <v>0</v>
      </c>
      <c r="AI118" s="304">
        <f t="shared" si="62"/>
        <v>121.63811301369863</v>
      </c>
      <c r="AJ118" s="305">
        <f t="shared" si="63"/>
        <v>0</v>
      </c>
      <c r="AK118" s="305"/>
      <c r="AL118" s="304">
        <f t="shared" ref="AL118:AL119" si="75">IF(J118,((VLOOKUP($B118,$E$7:$AI$16,7+24)+1)*AE118),)</f>
        <v>1632.6222186810344</v>
      </c>
    </row>
    <row r="119" spans="1:38" ht="15">
      <c r="A119" s="26">
        <f t="shared" si="43"/>
        <v>92</v>
      </c>
      <c r="B119" s="171">
        <v>4</v>
      </c>
      <c r="C119" s="260" t="s">
        <v>162</v>
      </c>
      <c r="D119" s="304">
        <f>'[2]CDCM Volume Forecasts'!D119</f>
        <v>0</v>
      </c>
      <c r="E119" s="305">
        <f>'[2]CDCM Volume Forecasts'!E119</f>
        <v>0</v>
      </c>
      <c r="F119" s="305">
        <f>'[2]CDCM Volume Forecasts'!F119</f>
        <v>0</v>
      </c>
      <c r="G119" s="304">
        <f>'[2]CDCM Volume Forecasts'!G119</f>
        <v>0</v>
      </c>
      <c r="H119" s="305">
        <f>'[2]CDCM Volume Forecasts'!H119</f>
        <v>0</v>
      </c>
      <c r="I119" s="305">
        <f>'[2]CDCM Volume Forecasts'!I119</f>
        <v>0</v>
      </c>
      <c r="J119" s="304">
        <f>'[2]CDCM Volume Forecasts'!J119</f>
        <v>0</v>
      </c>
      <c r="K119" s="304">
        <f t="shared" si="44"/>
        <v>0</v>
      </c>
      <c r="L119" s="305">
        <f t="shared" si="45"/>
        <v>0</v>
      </c>
      <c r="M119" s="305">
        <f t="shared" si="46"/>
        <v>0</v>
      </c>
      <c r="N119" s="304">
        <f t="shared" si="47"/>
        <v>0</v>
      </c>
      <c r="O119" s="305">
        <f t="shared" si="48"/>
        <v>0</v>
      </c>
      <c r="P119" s="305"/>
      <c r="Q119" s="304">
        <f t="shared" si="72"/>
        <v>0</v>
      </c>
      <c r="R119" s="304">
        <f t="shared" si="49"/>
        <v>0</v>
      </c>
      <c r="S119" s="305">
        <f t="shared" si="50"/>
        <v>0</v>
      </c>
      <c r="T119" s="305">
        <f t="shared" si="51"/>
        <v>0</v>
      </c>
      <c r="U119" s="304">
        <f t="shared" si="52"/>
        <v>0</v>
      </c>
      <c r="V119" s="305">
        <f t="shared" si="53"/>
        <v>0</v>
      </c>
      <c r="W119" s="305"/>
      <c r="X119" s="304">
        <f t="shared" si="73"/>
        <v>0</v>
      </c>
      <c r="Y119" s="304">
        <f t="shared" si="54"/>
        <v>0</v>
      </c>
      <c r="Z119" s="305">
        <f t="shared" si="55"/>
        <v>0</v>
      </c>
      <c r="AA119" s="305">
        <f t="shared" si="56"/>
        <v>0</v>
      </c>
      <c r="AB119" s="304">
        <f t="shared" si="57"/>
        <v>0</v>
      </c>
      <c r="AC119" s="305">
        <f t="shared" si="58"/>
        <v>0</v>
      </c>
      <c r="AD119" s="305"/>
      <c r="AE119" s="304">
        <f t="shared" si="74"/>
        <v>0</v>
      </c>
      <c r="AF119" s="304">
        <f t="shared" si="59"/>
        <v>0</v>
      </c>
      <c r="AG119" s="305">
        <f t="shared" si="60"/>
        <v>0</v>
      </c>
      <c r="AH119" s="305">
        <f t="shared" si="61"/>
        <v>0</v>
      </c>
      <c r="AI119" s="304">
        <f t="shared" si="62"/>
        <v>0</v>
      </c>
      <c r="AJ119" s="305">
        <f t="shared" si="63"/>
        <v>0</v>
      </c>
      <c r="AK119" s="305"/>
      <c r="AL119" s="304">
        <f t="shared" si="75"/>
        <v>0</v>
      </c>
    </row>
    <row r="120" spans="1:38" ht="15">
      <c r="A120" s="26">
        <f t="shared" si="43"/>
        <v>93</v>
      </c>
      <c r="B120" s="171"/>
      <c r="C120" s="259" t="s">
        <v>1561</v>
      </c>
      <c r="D120" s="303">
        <f>'[2]CDCM Volume Forecasts'!D120</f>
        <v>0</v>
      </c>
      <c r="E120" s="303">
        <f>'[2]CDCM Volume Forecasts'!E120</f>
        <v>0</v>
      </c>
      <c r="F120" s="303">
        <f>'[2]CDCM Volume Forecasts'!F120</f>
        <v>0</v>
      </c>
      <c r="G120" s="303">
        <f>'[2]CDCM Volume Forecasts'!G120</f>
        <v>0</v>
      </c>
      <c r="H120" s="303">
        <f>'[2]CDCM Volume Forecasts'!H120</f>
        <v>0</v>
      </c>
      <c r="I120" s="303">
        <f>'[2]CDCM Volume Forecasts'!I120</f>
        <v>0</v>
      </c>
      <c r="J120" s="303">
        <f>'[2]CDCM Volume Forecasts'!J120</f>
        <v>0</v>
      </c>
      <c r="K120" s="303">
        <f t="shared" si="44"/>
        <v>0</v>
      </c>
      <c r="L120" s="303">
        <f t="shared" si="45"/>
        <v>0</v>
      </c>
      <c r="M120" s="303">
        <f t="shared" si="46"/>
        <v>0</v>
      </c>
      <c r="N120" s="303">
        <f t="shared" si="47"/>
        <v>0</v>
      </c>
      <c r="O120" s="303">
        <f t="shared" si="48"/>
        <v>0</v>
      </c>
      <c r="P120" s="303"/>
      <c r="Q120" s="303"/>
      <c r="R120" s="303">
        <f t="shared" si="49"/>
        <v>0</v>
      </c>
      <c r="S120" s="303">
        <f t="shared" si="50"/>
        <v>0</v>
      </c>
      <c r="T120" s="303">
        <f t="shared" si="51"/>
        <v>0</v>
      </c>
      <c r="U120" s="303">
        <f t="shared" si="52"/>
        <v>0</v>
      </c>
      <c r="V120" s="303">
        <f t="shared" si="53"/>
        <v>0</v>
      </c>
      <c r="W120" s="303"/>
      <c r="X120" s="303"/>
      <c r="Y120" s="303">
        <f t="shared" si="54"/>
        <v>0</v>
      </c>
      <c r="Z120" s="303">
        <f t="shared" si="55"/>
        <v>0</v>
      </c>
      <c r="AA120" s="303">
        <f t="shared" si="56"/>
        <v>0</v>
      </c>
      <c r="AB120" s="303">
        <f t="shared" si="57"/>
        <v>0</v>
      </c>
      <c r="AC120" s="303">
        <f t="shared" si="58"/>
        <v>0</v>
      </c>
      <c r="AD120" s="303"/>
      <c r="AE120" s="303"/>
      <c r="AF120" s="303">
        <f t="shared" si="59"/>
        <v>0</v>
      </c>
      <c r="AG120" s="303">
        <f t="shared" si="60"/>
        <v>0</v>
      </c>
      <c r="AH120" s="303">
        <f t="shared" si="61"/>
        <v>0</v>
      </c>
      <c r="AI120" s="303">
        <f t="shared" si="62"/>
        <v>0</v>
      </c>
      <c r="AJ120" s="303">
        <f t="shared" si="63"/>
        <v>0</v>
      </c>
      <c r="AK120" s="303"/>
      <c r="AL120" s="303"/>
    </row>
    <row r="121" spans="1:38" ht="15">
      <c r="A121" s="26">
        <f t="shared" si="43"/>
        <v>94</v>
      </c>
      <c r="B121" s="171">
        <v>4</v>
      </c>
      <c r="C121" s="260" t="s">
        <v>1518</v>
      </c>
      <c r="D121" s="304">
        <f>'[2]CDCM Volume Forecasts'!D121</f>
        <v>0</v>
      </c>
      <c r="E121" s="305">
        <f>'[2]CDCM Volume Forecasts'!E121</f>
        <v>0</v>
      </c>
      <c r="F121" s="305">
        <f>'[2]CDCM Volume Forecasts'!F121</f>
        <v>0</v>
      </c>
      <c r="G121" s="304">
        <f>'[2]CDCM Volume Forecasts'!G121</f>
        <v>0</v>
      </c>
      <c r="H121" s="305">
        <f>'[2]CDCM Volume Forecasts'!H121</f>
        <v>0</v>
      </c>
      <c r="I121" s="305">
        <f>'[2]CDCM Volume Forecasts'!I121</f>
        <v>0</v>
      </c>
      <c r="J121" s="305">
        <f>'[2]CDCM Volume Forecasts'!J121</f>
        <v>0</v>
      </c>
      <c r="K121" s="304">
        <f t="shared" si="44"/>
        <v>0</v>
      </c>
      <c r="L121" s="305">
        <f t="shared" si="45"/>
        <v>0</v>
      </c>
      <c r="M121" s="305">
        <f t="shared" si="46"/>
        <v>0</v>
      </c>
      <c r="N121" s="304">
        <f t="shared" si="47"/>
        <v>0</v>
      </c>
      <c r="O121" s="305">
        <f t="shared" si="48"/>
        <v>0</v>
      </c>
      <c r="P121" s="305"/>
      <c r="Q121" s="305"/>
      <c r="R121" s="304">
        <f t="shared" si="49"/>
        <v>0</v>
      </c>
      <c r="S121" s="305">
        <f t="shared" si="50"/>
        <v>0</v>
      </c>
      <c r="T121" s="305">
        <f t="shared" si="51"/>
        <v>0</v>
      </c>
      <c r="U121" s="304">
        <f t="shared" si="52"/>
        <v>0</v>
      </c>
      <c r="V121" s="305">
        <f t="shared" si="53"/>
        <v>0</v>
      </c>
      <c r="W121" s="305"/>
      <c r="X121" s="305"/>
      <c r="Y121" s="304">
        <f t="shared" si="54"/>
        <v>0</v>
      </c>
      <c r="Z121" s="305">
        <f t="shared" si="55"/>
        <v>0</v>
      </c>
      <c r="AA121" s="305">
        <f t="shared" si="56"/>
        <v>0</v>
      </c>
      <c r="AB121" s="304">
        <f t="shared" si="57"/>
        <v>0</v>
      </c>
      <c r="AC121" s="305">
        <f t="shared" si="58"/>
        <v>0</v>
      </c>
      <c r="AD121" s="305"/>
      <c r="AE121" s="305"/>
      <c r="AF121" s="304">
        <f t="shared" si="59"/>
        <v>0</v>
      </c>
      <c r="AG121" s="305">
        <f t="shared" si="60"/>
        <v>0</v>
      </c>
      <c r="AH121" s="305">
        <f t="shared" si="61"/>
        <v>0</v>
      </c>
      <c r="AI121" s="304">
        <f t="shared" si="62"/>
        <v>0</v>
      </c>
      <c r="AJ121" s="305">
        <f t="shared" si="63"/>
        <v>0</v>
      </c>
      <c r="AK121" s="305"/>
      <c r="AL121" s="305"/>
    </row>
    <row r="122" spans="1:38" ht="15">
      <c r="A122" s="26">
        <f t="shared" si="43"/>
        <v>95</v>
      </c>
      <c r="B122" s="171"/>
      <c r="C122" s="259" t="s">
        <v>163</v>
      </c>
      <c r="D122" s="303">
        <f>'[2]CDCM Volume Forecasts'!D122</f>
        <v>0</v>
      </c>
      <c r="E122" s="303">
        <f>'[2]CDCM Volume Forecasts'!E122</f>
        <v>0</v>
      </c>
      <c r="F122" s="303">
        <f>'[2]CDCM Volume Forecasts'!F122</f>
        <v>0</v>
      </c>
      <c r="G122" s="303">
        <f>'[2]CDCM Volume Forecasts'!G122</f>
        <v>0</v>
      </c>
      <c r="H122" s="303">
        <f>'[2]CDCM Volume Forecasts'!H122</f>
        <v>0</v>
      </c>
      <c r="I122" s="303">
        <f>'[2]CDCM Volume Forecasts'!I122</f>
        <v>0</v>
      </c>
      <c r="J122" s="303">
        <f>'[2]CDCM Volume Forecasts'!J122</f>
        <v>0</v>
      </c>
      <c r="K122" s="303">
        <f t="shared" si="44"/>
        <v>0</v>
      </c>
      <c r="L122" s="303">
        <f t="shared" si="45"/>
        <v>0</v>
      </c>
      <c r="M122" s="303">
        <f t="shared" si="46"/>
        <v>0</v>
      </c>
      <c r="N122" s="303">
        <f t="shared" si="47"/>
        <v>0</v>
      </c>
      <c r="O122" s="303">
        <f t="shared" si="48"/>
        <v>0</v>
      </c>
      <c r="P122" s="303"/>
      <c r="Q122" s="303"/>
      <c r="R122" s="303">
        <f t="shared" si="49"/>
        <v>0</v>
      </c>
      <c r="S122" s="303">
        <f t="shared" si="50"/>
        <v>0</v>
      </c>
      <c r="T122" s="303">
        <f t="shared" si="51"/>
        <v>0</v>
      </c>
      <c r="U122" s="303">
        <f t="shared" si="52"/>
        <v>0</v>
      </c>
      <c r="V122" s="303">
        <f t="shared" si="53"/>
        <v>0</v>
      </c>
      <c r="W122" s="303"/>
      <c r="X122" s="303"/>
      <c r="Y122" s="303">
        <f t="shared" si="54"/>
        <v>0</v>
      </c>
      <c r="Z122" s="303">
        <f t="shared" si="55"/>
        <v>0</v>
      </c>
      <c r="AA122" s="303">
        <f t="shared" si="56"/>
        <v>0</v>
      </c>
      <c r="AB122" s="303">
        <f t="shared" si="57"/>
        <v>0</v>
      </c>
      <c r="AC122" s="303">
        <f t="shared" si="58"/>
        <v>0</v>
      </c>
      <c r="AD122" s="303"/>
      <c r="AE122" s="303"/>
      <c r="AF122" s="303">
        <f t="shared" si="59"/>
        <v>0</v>
      </c>
      <c r="AG122" s="303">
        <f t="shared" si="60"/>
        <v>0</v>
      </c>
      <c r="AH122" s="303">
        <f t="shared" si="61"/>
        <v>0</v>
      </c>
      <c r="AI122" s="303">
        <f t="shared" si="62"/>
        <v>0</v>
      </c>
      <c r="AJ122" s="303">
        <f t="shared" si="63"/>
        <v>0</v>
      </c>
      <c r="AK122" s="303"/>
      <c r="AL122" s="303"/>
    </row>
    <row r="123" spans="1:38" ht="15">
      <c r="A123" s="26">
        <f t="shared" si="43"/>
        <v>96</v>
      </c>
      <c r="B123" s="171">
        <v>4</v>
      </c>
      <c r="C123" s="260" t="s">
        <v>66</v>
      </c>
      <c r="D123" s="304">
        <f>'[2]CDCM Volume Forecasts'!D123</f>
        <v>262.77834065563309</v>
      </c>
      <c r="E123" s="304">
        <f>'[2]CDCM Volume Forecasts'!E123</f>
        <v>1416.430282521459</v>
      </c>
      <c r="F123" s="304">
        <f>'[2]CDCM Volume Forecasts'!F123</f>
        <v>2413.7732126878327</v>
      </c>
      <c r="G123" s="304">
        <f>'[2]CDCM Volume Forecasts'!G123</f>
        <v>12.478949999999999</v>
      </c>
      <c r="H123" s="305">
        <f>'[2]CDCM Volume Forecasts'!H123</f>
        <v>0</v>
      </c>
      <c r="I123" s="305">
        <f>'[2]CDCM Volume Forecasts'!I123</f>
        <v>0</v>
      </c>
      <c r="J123" s="304">
        <f>'[2]CDCM Volume Forecasts'!J123</f>
        <v>606.8858033017242</v>
      </c>
      <c r="K123" s="304">
        <f t="shared" si="44"/>
        <v>262.77834065563309</v>
      </c>
      <c r="L123" s="304">
        <f t="shared" si="45"/>
        <v>1416.430282521459</v>
      </c>
      <c r="M123" s="304">
        <f t="shared" si="46"/>
        <v>2413.7732126878327</v>
      </c>
      <c r="N123" s="304">
        <f t="shared" si="47"/>
        <v>12.478949999999999</v>
      </c>
      <c r="O123" s="305">
        <f t="shared" si="48"/>
        <v>0</v>
      </c>
      <c r="P123" s="305"/>
      <c r="Q123" s="304">
        <f t="shared" ref="Q123:Q124" si="76">IF(J123,((VLOOKUP($B123,$E$7:$AI$16,28)+1)*J123),)</f>
        <v>606.8858033017242</v>
      </c>
      <c r="R123" s="304">
        <f t="shared" si="49"/>
        <v>262.77834065563309</v>
      </c>
      <c r="S123" s="304">
        <f t="shared" si="50"/>
        <v>1416.430282521459</v>
      </c>
      <c r="T123" s="304">
        <f t="shared" si="51"/>
        <v>2413.7732126878327</v>
      </c>
      <c r="U123" s="304">
        <f t="shared" si="52"/>
        <v>12.478949999999999</v>
      </c>
      <c r="V123" s="305">
        <f t="shared" si="53"/>
        <v>0</v>
      </c>
      <c r="W123" s="305"/>
      <c r="X123" s="304">
        <f t="shared" ref="X123:X124" si="77">IF(J123,((VLOOKUP($B123,$E$7:$AI$16,5+24)+1)*Q123),)</f>
        <v>606.8858033017242</v>
      </c>
      <c r="Y123" s="304">
        <f t="shared" si="54"/>
        <v>262.77834065563309</v>
      </c>
      <c r="Z123" s="304">
        <f t="shared" si="55"/>
        <v>1416.430282521459</v>
      </c>
      <c r="AA123" s="304">
        <f t="shared" si="56"/>
        <v>2413.7732126878327</v>
      </c>
      <c r="AB123" s="304">
        <f t="shared" si="57"/>
        <v>12.478949999999999</v>
      </c>
      <c r="AC123" s="305">
        <f t="shared" si="58"/>
        <v>0</v>
      </c>
      <c r="AD123" s="305"/>
      <c r="AE123" s="304">
        <f t="shared" ref="AE123:AE124" si="78">IF(J123,((VLOOKUP($B123,$E$7:$AI$16,6+24)+1)*X123),)</f>
        <v>606.8858033017242</v>
      </c>
      <c r="AF123" s="304">
        <f t="shared" si="59"/>
        <v>262.77834065563309</v>
      </c>
      <c r="AG123" s="304">
        <f t="shared" si="60"/>
        <v>1416.430282521459</v>
      </c>
      <c r="AH123" s="304">
        <f t="shared" si="61"/>
        <v>2413.7732126878327</v>
      </c>
      <c r="AI123" s="304">
        <f t="shared" si="62"/>
        <v>12.478949999999999</v>
      </c>
      <c r="AJ123" s="305">
        <f t="shared" si="63"/>
        <v>0</v>
      </c>
      <c r="AK123" s="305"/>
      <c r="AL123" s="304">
        <f t="shared" ref="AL123:AL124" si="79">IF(J123,((VLOOKUP($B123,$E$7:$AI$16,7+24)+1)*AE123),)</f>
        <v>606.8858033017242</v>
      </c>
    </row>
    <row r="124" spans="1:38" ht="15">
      <c r="A124" s="26">
        <f t="shared" si="43"/>
        <v>97</v>
      </c>
      <c r="B124" s="171">
        <v>4</v>
      </c>
      <c r="C124" s="260" t="s">
        <v>164</v>
      </c>
      <c r="D124" s="304">
        <f>'[2]CDCM Volume Forecasts'!D124</f>
        <v>0</v>
      </c>
      <c r="E124" s="304">
        <f>'[2]CDCM Volume Forecasts'!E124</f>
        <v>0</v>
      </c>
      <c r="F124" s="304">
        <f>'[2]CDCM Volume Forecasts'!F124</f>
        <v>0</v>
      </c>
      <c r="G124" s="304">
        <f>'[2]CDCM Volume Forecasts'!G124</f>
        <v>0</v>
      </c>
      <c r="H124" s="305">
        <f>'[2]CDCM Volume Forecasts'!H124</f>
        <v>0</v>
      </c>
      <c r="I124" s="305">
        <f>'[2]CDCM Volume Forecasts'!I124</f>
        <v>0</v>
      </c>
      <c r="J124" s="304">
        <f>'[2]CDCM Volume Forecasts'!J124</f>
        <v>0</v>
      </c>
      <c r="K124" s="304">
        <f t="shared" si="44"/>
        <v>0</v>
      </c>
      <c r="L124" s="304">
        <f t="shared" si="45"/>
        <v>0</v>
      </c>
      <c r="M124" s="304">
        <f t="shared" si="46"/>
        <v>0</v>
      </c>
      <c r="N124" s="304">
        <f t="shared" si="47"/>
        <v>0</v>
      </c>
      <c r="O124" s="305">
        <f t="shared" si="48"/>
        <v>0</v>
      </c>
      <c r="P124" s="305"/>
      <c r="Q124" s="304">
        <f t="shared" si="76"/>
        <v>0</v>
      </c>
      <c r="R124" s="304">
        <f t="shared" si="49"/>
        <v>0</v>
      </c>
      <c r="S124" s="304">
        <f t="shared" si="50"/>
        <v>0</v>
      </c>
      <c r="T124" s="304">
        <f t="shared" si="51"/>
        <v>0</v>
      </c>
      <c r="U124" s="304">
        <f t="shared" si="52"/>
        <v>0</v>
      </c>
      <c r="V124" s="305">
        <f t="shared" si="53"/>
        <v>0</v>
      </c>
      <c r="W124" s="305"/>
      <c r="X124" s="304">
        <f t="shared" si="77"/>
        <v>0</v>
      </c>
      <c r="Y124" s="304">
        <f t="shared" si="54"/>
        <v>0</v>
      </c>
      <c r="Z124" s="304">
        <f t="shared" si="55"/>
        <v>0</v>
      </c>
      <c r="AA124" s="304">
        <f t="shared" si="56"/>
        <v>0</v>
      </c>
      <c r="AB124" s="304">
        <f t="shared" si="57"/>
        <v>0</v>
      </c>
      <c r="AC124" s="305">
        <f t="shared" si="58"/>
        <v>0</v>
      </c>
      <c r="AD124" s="305"/>
      <c r="AE124" s="304">
        <f t="shared" si="78"/>
        <v>0</v>
      </c>
      <c r="AF124" s="304">
        <f t="shared" si="59"/>
        <v>0</v>
      </c>
      <c r="AG124" s="304">
        <f t="shared" si="60"/>
        <v>0</v>
      </c>
      <c r="AH124" s="304">
        <f t="shared" si="61"/>
        <v>0</v>
      </c>
      <c r="AI124" s="304">
        <f t="shared" si="62"/>
        <v>0</v>
      </c>
      <c r="AJ124" s="305">
        <f t="shared" si="63"/>
        <v>0</v>
      </c>
      <c r="AK124" s="305"/>
      <c r="AL124" s="304">
        <f t="shared" si="79"/>
        <v>0</v>
      </c>
    </row>
    <row r="125" spans="1:38" ht="15">
      <c r="A125" s="26">
        <f t="shared" si="43"/>
        <v>98</v>
      </c>
      <c r="B125" s="171"/>
      <c r="C125" s="259" t="s">
        <v>1562</v>
      </c>
      <c r="D125" s="303">
        <f>'[2]CDCM Volume Forecasts'!D125</f>
        <v>0</v>
      </c>
      <c r="E125" s="303">
        <f>'[2]CDCM Volume Forecasts'!E125</f>
        <v>0</v>
      </c>
      <c r="F125" s="303">
        <f>'[2]CDCM Volume Forecasts'!F125</f>
        <v>0</v>
      </c>
      <c r="G125" s="303">
        <f>'[2]CDCM Volume Forecasts'!G125</f>
        <v>0</v>
      </c>
      <c r="H125" s="303">
        <f>'[2]CDCM Volume Forecasts'!H125</f>
        <v>0</v>
      </c>
      <c r="I125" s="303">
        <f>'[2]CDCM Volume Forecasts'!I125</f>
        <v>0</v>
      </c>
      <c r="J125" s="303">
        <f>'[2]CDCM Volume Forecasts'!J125</f>
        <v>0</v>
      </c>
      <c r="K125" s="303">
        <f t="shared" si="44"/>
        <v>0</v>
      </c>
      <c r="L125" s="303">
        <f t="shared" si="45"/>
        <v>0</v>
      </c>
      <c r="M125" s="303">
        <f t="shared" si="46"/>
        <v>0</v>
      </c>
      <c r="N125" s="303">
        <f t="shared" si="47"/>
        <v>0</v>
      </c>
      <c r="O125" s="303">
        <f t="shared" si="48"/>
        <v>0</v>
      </c>
      <c r="P125" s="303"/>
      <c r="Q125" s="303"/>
      <c r="R125" s="303">
        <f t="shared" si="49"/>
        <v>0</v>
      </c>
      <c r="S125" s="303">
        <f t="shared" si="50"/>
        <v>0</v>
      </c>
      <c r="T125" s="303">
        <f t="shared" si="51"/>
        <v>0</v>
      </c>
      <c r="U125" s="303">
        <f t="shared" si="52"/>
        <v>0</v>
      </c>
      <c r="V125" s="303">
        <f t="shared" si="53"/>
        <v>0</v>
      </c>
      <c r="W125" s="303"/>
      <c r="X125" s="305"/>
      <c r="Y125" s="303">
        <f t="shared" si="54"/>
        <v>0</v>
      </c>
      <c r="Z125" s="303">
        <f t="shared" si="55"/>
        <v>0</v>
      </c>
      <c r="AA125" s="303">
        <f t="shared" si="56"/>
        <v>0</v>
      </c>
      <c r="AB125" s="303">
        <f t="shared" si="57"/>
        <v>0</v>
      </c>
      <c r="AC125" s="303">
        <f t="shared" si="58"/>
        <v>0</v>
      </c>
      <c r="AD125" s="303"/>
      <c r="AE125" s="303"/>
      <c r="AF125" s="303">
        <f t="shared" si="59"/>
        <v>0</v>
      </c>
      <c r="AG125" s="303">
        <f t="shared" si="60"/>
        <v>0</v>
      </c>
      <c r="AH125" s="303">
        <f t="shared" si="61"/>
        <v>0</v>
      </c>
      <c r="AI125" s="303">
        <f t="shared" si="62"/>
        <v>0</v>
      </c>
      <c r="AJ125" s="303">
        <f t="shared" si="63"/>
        <v>0</v>
      </c>
      <c r="AK125" s="303"/>
      <c r="AL125" s="303"/>
    </row>
    <row r="126" spans="1:38" ht="15">
      <c r="A126" s="26">
        <f t="shared" si="43"/>
        <v>99</v>
      </c>
      <c r="B126" s="171">
        <v>4</v>
      </c>
      <c r="C126" s="260" t="s">
        <v>1519</v>
      </c>
      <c r="D126" s="304">
        <f>'[2]CDCM Volume Forecasts'!D126</f>
        <v>0</v>
      </c>
      <c r="E126" s="304">
        <f>'[2]CDCM Volume Forecasts'!E126</f>
        <v>0</v>
      </c>
      <c r="F126" s="304">
        <f>'[2]CDCM Volume Forecasts'!F126</f>
        <v>0</v>
      </c>
      <c r="G126" s="304">
        <f>'[2]CDCM Volume Forecasts'!G126</f>
        <v>0</v>
      </c>
      <c r="H126" s="305">
        <f>'[2]CDCM Volume Forecasts'!H126</f>
        <v>0</v>
      </c>
      <c r="I126" s="305">
        <f>'[2]CDCM Volume Forecasts'!I126</f>
        <v>0</v>
      </c>
      <c r="J126" s="305">
        <f>'[2]CDCM Volume Forecasts'!J126</f>
        <v>0</v>
      </c>
      <c r="K126" s="304">
        <f t="shared" si="44"/>
        <v>0</v>
      </c>
      <c r="L126" s="304">
        <f t="shared" si="45"/>
        <v>0</v>
      </c>
      <c r="M126" s="304">
        <f t="shared" si="46"/>
        <v>0</v>
      </c>
      <c r="N126" s="304">
        <f t="shared" si="47"/>
        <v>0</v>
      </c>
      <c r="O126" s="305">
        <f t="shared" si="48"/>
        <v>0</v>
      </c>
      <c r="P126" s="305"/>
      <c r="Q126" s="305"/>
      <c r="R126" s="304">
        <f t="shared" si="49"/>
        <v>0</v>
      </c>
      <c r="S126" s="304">
        <f t="shared" si="50"/>
        <v>0</v>
      </c>
      <c r="T126" s="304">
        <f t="shared" si="51"/>
        <v>0</v>
      </c>
      <c r="U126" s="304">
        <f t="shared" si="52"/>
        <v>0</v>
      </c>
      <c r="V126" s="305">
        <f t="shared" si="53"/>
        <v>0</v>
      </c>
      <c r="W126" s="305"/>
      <c r="X126" s="305"/>
      <c r="Y126" s="304">
        <f t="shared" si="54"/>
        <v>0</v>
      </c>
      <c r="Z126" s="304">
        <f t="shared" si="55"/>
        <v>0</v>
      </c>
      <c r="AA126" s="304">
        <f t="shared" si="56"/>
        <v>0</v>
      </c>
      <c r="AB126" s="304">
        <f t="shared" si="57"/>
        <v>0</v>
      </c>
      <c r="AC126" s="305">
        <f t="shared" si="58"/>
        <v>0</v>
      </c>
      <c r="AD126" s="305"/>
      <c r="AE126" s="305"/>
      <c r="AF126" s="304">
        <f t="shared" si="59"/>
        <v>0</v>
      </c>
      <c r="AG126" s="304">
        <f t="shared" si="60"/>
        <v>0</v>
      </c>
      <c r="AH126" s="304">
        <f t="shared" si="61"/>
        <v>0</v>
      </c>
      <c r="AI126" s="304">
        <f t="shared" si="62"/>
        <v>0</v>
      </c>
      <c r="AJ126" s="305">
        <f t="shared" si="63"/>
        <v>0</v>
      </c>
      <c r="AK126" s="305"/>
      <c r="AL126" s="305"/>
    </row>
    <row r="127" spans="1:38" ht="15">
      <c r="A127" s="26">
        <f t="shared" si="43"/>
        <v>100</v>
      </c>
      <c r="B127" s="171"/>
      <c r="C127" s="259" t="s">
        <v>165</v>
      </c>
      <c r="D127" s="303">
        <f>'[2]CDCM Volume Forecasts'!D127</f>
        <v>0</v>
      </c>
      <c r="E127" s="303">
        <f>'[2]CDCM Volume Forecasts'!E127</f>
        <v>0</v>
      </c>
      <c r="F127" s="303">
        <f>'[2]CDCM Volume Forecasts'!F127</f>
        <v>0</v>
      </c>
      <c r="G127" s="303">
        <f>'[2]CDCM Volume Forecasts'!G127</f>
        <v>0</v>
      </c>
      <c r="H127" s="303">
        <f>'[2]CDCM Volume Forecasts'!H127</f>
        <v>0</v>
      </c>
      <c r="I127" s="303">
        <f>'[2]CDCM Volume Forecasts'!I127</f>
        <v>0</v>
      </c>
      <c r="J127" s="303">
        <f>'[2]CDCM Volume Forecasts'!J127</f>
        <v>0</v>
      </c>
      <c r="K127" s="303">
        <f t="shared" si="44"/>
        <v>0</v>
      </c>
      <c r="L127" s="303">
        <f t="shared" si="45"/>
        <v>0</v>
      </c>
      <c r="M127" s="303">
        <f t="shared" si="46"/>
        <v>0</v>
      </c>
      <c r="N127" s="303">
        <f t="shared" si="47"/>
        <v>0</v>
      </c>
      <c r="O127" s="303">
        <f t="shared" si="48"/>
        <v>0</v>
      </c>
      <c r="P127" s="303"/>
      <c r="Q127" s="303"/>
      <c r="R127" s="303">
        <f t="shared" si="49"/>
        <v>0</v>
      </c>
      <c r="S127" s="303">
        <f t="shared" si="50"/>
        <v>0</v>
      </c>
      <c r="T127" s="303">
        <f t="shared" si="51"/>
        <v>0</v>
      </c>
      <c r="U127" s="303">
        <f t="shared" si="52"/>
        <v>0</v>
      </c>
      <c r="V127" s="303">
        <f t="shared" si="53"/>
        <v>0</v>
      </c>
      <c r="W127" s="303"/>
      <c r="X127" s="303"/>
      <c r="Y127" s="303">
        <f t="shared" si="54"/>
        <v>0</v>
      </c>
      <c r="Z127" s="303">
        <f t="shared" si="55"/>
        <v>0</v>
      </c>
      <c r="AA127" s="303">
        <f t="shared" si="56"/>
        <v>0</v>
      </c>
      <c r="AB127" s="303">
        <f t="shared" si="57"/>
        <v>0</v>
      </c>
      <c r="AC127" s="303">
        <f t="shared" si="58"/>
        <v>0</v>
      </c>
      <c r="AD127" s="303"/>
      <c r="AE127" s="303"/>
      <c r="AF127" s="303">
        <f t="shared" si="59"/>
        <v>0</v>
      </c>
      <c r="AG127" s="303">
        <f t="shared" si="60"/>
        <v>0</v>
      </c>
      <c r="AH127" s="303">
        <f t="shared" si="61"/>
        <v>0</v>
      </c>
      <c r="AI127" s="303">
        <f t="shared" si="62"/>
        <v>0</v>
      </c>
      <c r="AJ127" s="303">
        <f t="shared" si="63"/>
        <v>0</v>
      </c>
      <c r="AK127" s="303"/>
      <c r="AL127" s="303"/>
    </row>
    <row r="128" spans="1:38" ht="15">
      <c r="A128" s="26">
        <f t="shared" si="43"/>
        <v>101</v>
      </c>
      <c r="B128" s="171">
        <v>4</v>
      </c>
      <c r="C128" s="260" t="s">
        <v>74</v>
      </c>
      <c r="D128" s="304">
        <f>'[2]CDCM Volume Forecasts'!D128</f>
        <v>408798.58803053456</v>
      </c>
      <c r="E128" s="305">
        <f>'[2]CDCM Volume Forecasts'!E128</f>
        <v>0</v>
      </c>
      <c r="F128" s="305">
        <f>'[2]CDCM Volume Forecasts'!F128</f>
        <v>0</v>
      </c>
      <c r="G128" s="304">
        <f>'[2]CDCM Volume Forecasts'!G128</f>
        <v>237.99717534246571</v>
      </c>
      <c r="H128" s="305">
        <f>'[2]CDCM Volume Forecasts'!H128</f>
        <v>0</v>
      </c>
      <c r="I128" s="305">
        <f>'[2]CDCM Volume Forecasts'!I128</f>
        <v>0</v>
      </c>
      <c r="J128" s="304">
        <f>'[2]CDCM Volume Forecasts'!J128</f>
        <v>3870.4537602500009</v>
      </c>
      <c r="K128" s="304">
        <f t="shared" si="44"/>
        <v>408798.58803053456</v>
      </c>
      <c r="L128" s="305">
        <f t="shared" si="45"/>
        <v>0</v>
      </c>
      <c r="M128" s="305">
        <f t="shared" si="46"/>
        <v>0</v>
      </c>
      <c r="N128" s="304">
        <f t="shared" si="47"/>
        <v>237.99717534246571</v>
      </c>
      <c r="O128" s="305">
        <f t="shared" si="48"/>
        <v>0</v>
      </c>
      <c r="P128" s="305"/>
      <c r="Q128" s="304">
        <f t="shared" ref="Q128:Q129" si="80">IF(J128,((VLOOKUP($B128,$E$7:$AI$16,28)+1)*J128),)</f>
        <v>3870.4537602500009</v>
      </c>
      <c r="R128" s="304">
        <f t="shared" si="49"/>
        <v>408798.58803053456</v>
      </c>
      <c r="S128" s="305">
        <f t="shared" si="50"/>
        <v>0</v>
      </c>
      <c r="T128" s="305">
        <f t="shared" si="51"/>
        <v>0</v>
      </c>
      <c r="U128" s="304">
        <f t="shared" si="52"/>
        <v>237.99717534246571</v>
      </c>
      <c r="V128" s="305">
        <f t="shared" si="53"/>
        <v>0</v>
      </c>
      <c r="W128" s="305"/>
      <c r="X128" s="304">
        <f t="shared" ref="X128:X129" si="81">IF(J128,((VLOOKUP($B128,$E$7:$AI$16,5+24)+1)*Q128),)</f>
        <v>3870.4537602500009</v>
      </c>
      <c r="Y128" s="304">
        <f t="shared" si="54"/>
        <v>408798.58803053456</v>
      </c>
      <c r="Z128" s="305">
        <f t="shared" si="55"/>
        <v>0</v>
      </c>
      <c r="AA128" s="305">
        <f t="shared" si="56"/>
        <v>0</v>
      </c>
      <c r="AB128" s="304">
        <f t="shared" si="57"/>
        <v>237.99717534246571</v>
      </c>
      <c r="AC128" s="305">
        <f t="shared" si="58"/>
        <v>0</v>
      </c>
      <c r="AD128" s="305"/>
      <c r="AE128" s="304">
        <f t="shared" ref="AE128:AE129" si="82">IF(J128,((VLOOKUP($B128,$E$7:$AI$16,6+24)+1)*X128),)</f>
        <v>3870.4537602500009</v>
      </c>
      <c r="AF128" s="304">
        <f t="shared" si="59"/>
        <v>408798.58803053456</v>
      </c>
      <c r="AG128" s="305">
        <f t="shared" si="60"/>
        <v>0</v>
      </c>
      <c r="AH128" s="305">
        <f t="shared" si="61"/>
        <v>0</v>
      </c>
      <c r="AI128" s="304">
        <f t="shared" si="62"/>
        <v>237.99717534246571</v>
      </c>
      <c r="AJ128" s="305">
        <f t="shared" si="63"/>
        <v>0</v>
      </c>
      <c r="AK128" s="305"/>
      <c r="AL128" s="304">
        <f t="shared" ref="AL128:AL129" si="83">IF(J128,((VLOOKUP($B128,$E$7:$AI$16,7+24)+1)*AE128),)</f>
        <v>3870.4537602500009</v>
      </c>
    </row>
    <row r="129" spans="1:38" ht="15">
      <c r="A129" s="26">
        <f t="shared" si="43"/>
        <v>102</v>
      </c>
      <c r="B129" s="171">
        <v>4</v>
      </c>
      <c r="C129" s="260" t="s">
        <v>166</v>
      </c>
      <c r="D129" s="304">
        <f>'[2]CDCM Volume Forecasts'!D129</f>
        <v>28.965318951724136</v>
      </c>
      <c r="E129" s="305">
        <f>'[2]CDCM Volume Forecasts'!E129</f>
        <v>0</v>
      </c>
      <c r="F129" s="305">
        <f>'[2]CDCM Volume Forecasts'!F129</f>
        <v>0</v>
      </c>
      <c r="G129" s="304">
        <f>'[2]CDCM Volume Forecasts'!G129</f>
        <v>1.9710246575342465</v>
      </c>
      <c r="H129" s="305">
        <f>'[2]CDCM Volume Forecasts'!H129</f>
        <v>0</v>
      </c>
      <c r="I129" s="305">
        <f>'[2]CDCM Volume Forecasts'!I129</f>
        <v>0</v>
      </c>
      <c r="J129" s="304">
        <f>'[2]CDCM Volume Forecasts'!J129</f>
        <v>0</v>
      </c>
      <c r="K129" s="304">
        <f t="shared" si="44"/>
        <v>28.965318951724136</v>
      </c>
      <c r="L129" s="305">
        <f t="shared" si="45"/>
        <v>0</v>
      </c>
      <c r="M129" s="305">
        <f t="shared" si="46"/>
        <v>0</v>
      </c>
      <c r="N129" s="304">
        <f t="shared" si="47"/>
        <v>1.9710246575342465</v>
      </c>
      <c r="O129" s="305">
        <f t="shared" si="48"/>
        <v>0</v>
      </c>
      <c r="P129" s="305"/>
      <c r="Q129" s="304">
        <f t="shared" si="80"/>
        <v>0</v>
      </c>
      <c r="R129" s="304">
        <f t="shared" si="49"/>
        <v>28.965318951724136</v>
      </c>
      <c r="S129" s="305">
        <f t="shared" si="50"/>
        <v>0</v>
      </c>
      <c r="T129" s="305">
        <f t="shared" si="51"/>
        <v>0</v>
      </c>
      <c r="U129" s="304">
        <f t="shared" si="52"/>
        <v>1.9710246575342465</v>
      </c>
      <c r="V129" s="305">
        <f t="shared" si="53"/>
        <v>0</v>
      </c>
      <c r="W129" s="305"/>
      <c r="X129" s="304">
        <f t="shared" si="81"/>
        <v>0</v>
      </c>
      <c r="Y129" s="304">
        <f t="shared" si="54"/>
        <v>28.965318951724136</v>
      </c>
      <c r="Z129" s="305">
        <f t="shared" si="55"/>
        <v>0</v>
      </c>
      <c r="AA129" s="305">
        <f t="shared" si="56"/>
        <v>0</v>
      </c>
      <c r="AB129" s="304">
        <f t="shared" si="57"/>
        <v>1.9710246575342465</v>
      </c>
      <c r="AC129" s="305">
        <f t="shared" si="58"/>
        <v>0</v>
      </c>
      <c r="AD129" s="305"/>
      <c r="AE129" s="304">
        <f t="shared" si="82"/>
        <v>0</v>
      </c>
      <c r="AF129" s="304">
        <f t="shared" si="59"/>
        <v>28.965318951724136</v>
      </c>
      <c r="AG129" s="305">
        <f t="shared" si="60"/>
        <v>0</v>
      </c>
      <c r="AH129" s="305">
        <f t="shared" si="61"/>
        <v>0</v>
      </c>
      <c r="AI129" s="304">
        <f t="shared" si="62"/>
        <v>1.9710246575342465</v>
      </c>
      <c r="AJ129" s="305">
        <f t="shared" si="63"/>
        <v>0</v>
      </c>
      <c r="AK129" s="305"/>
      <c r="AL129" s="304">
        <f t="shared" si="83"/>
        <v>0</v>
      </c>
    </row>
    <row r="130" spans="1:38" ht="15">
      <c r="A130" s="26">
        <f t="shared" si="43"/>
        <v>103</v>
      </c>
      <c r="B130" s="171"/>
      <c r="C130" s="259" t="s">
        <v>1563</v>
      </c>
      <c r="D130" s="303">
        <f>'[2]CDCM Volume Forecasts'!D130</f>
        <v>0</v>
      </c>
      <c r="E130" s="303">
        <f>'[2]CDCM Volume Forecasts'!E130</f>
        <v>0</v>
      </c>
      <c r="F130" s="303">
        <f>'[2]CDCM Volume Forecasts'!F130</f>
        <v>0</v>
      </c>
      <c r="G130" s="303">
        <f>'[2]CDCM Volume Forecasts'!G130</f>
        <v>0</v>
      </c>
      <c r="H130" s="303">
        <f>'[2]CDCM Volume Forecasts'!H130</f>
        <v>0</v>
      </c>
      <c r="I130" s="303">
        <f>'[2]CDCM Volume Forecasts'!I130</f>
        <v>0</v>
      </c>
      <c r="J130" s="303">
        <f>'[2]CDCM Volume Forecasts'!J130</f>
        <v>0</v>
      </c>
      <c r="K130" s="303">
        <f t="shared" si="44"/>
        <v>0</v>
      </c>
      <c r="L130" s="303">
        <f t="shared" si="45"/>
        <v>0</v>
      </c>
      <c r="M130" s="303">
        <f t="shared" si="46"/>
        <v>0</v>
      </c>
      <c r="N130" s="303">
        <f t="shared" si="47"/>
        <v>0</v>
      </c>
      <c r="O130" s="303">
        <f t="shared" si="48"/>
        <v>0</v>
      </c>
      <c r="P130" s="303"/>
      <c r="Q130" s="303"/>
      <c r="R130" s="303">
        <f t="shared" si="49"/>
        <v>0</v>
      </c>
      <c r="S130" s="303">
        <f t="shared" si="50"/>
        <v>0</v>
      </c>
      <c r="T130" s="303">
        <f t="shared" si="51"/>
        <v>0</v>
      </c>
      <c r="U130" s="303">
        <f t="shared" si="52"/>
        <v>0</v>
      </c>
      <c r="V130" s="303">
        <f t="shared" si="53"/>
        <v>0</v>
      </c>
      <c r="W130" s="303"/>
      <c r="X130" s="303"/>
      <c r="Y130" s="303">
        <f t="shared" si="54"/>
        <v>0</v>
      </c>
      <c r="Z130" s="303">
        <f t="shared" si="55"/>
        <v>0</v>
      </c>
      <c r="AA130" s="303">
        <f t="shared" si="56"/>
        <v>0</v>
      </c>
      <c r="AB130" s="303">
        <f t="shared" si="57"/>
        <v>0</v>
      </c>
      <c r="AC130" s="303">
        <f t="shared" si="58"/>
        <v>0</v>
      </c>
      <c r="AD130" s="303"/>
      <c r="AE130" s="303"/>
      <c r="AF130" s="303">
        <f t="shared" si="59"/>
        <v>0</v>
      </c>
      <c r="AG130" s="303">
        <f t="shared" si="60"/>
        <v>0</v>
      </c>
      <c r="AH130" s="303">
        <f t="shared" si="61"/>
        <v>0</v>
      </c>
      <c r="AI130" s="303">
        <f t="shared" si="62"/>
        <v>0</v>
      </c>
      <c r="AJ130" s="303">
        <f t="shared" si="63"/>
        <v>0</v>
      </c>
      <c r="AK130" s="303"/>
      <c r="AL130" s="303"/>
    </row>
    <row r="131" spans="1:38" ht="15">
      <c r="A131" s="26">
        <f t="shared" si="43"/>
        <v>104</v>
      </c>
      <c r="B131" s="171">
        <v>4</v>
      </c>
      <c r="C131" s="260" t="s">
        <v>1520</v>
      </c>
      <c r="D131" s="304">
        <f>'[2]CDCM Volume Forecasts'!D131</f>
        <v>0</v>
      </c>
      <c r="E131" s="305">
        <f>'[2]CDCM Volume Forecasts'!E131</f>
        <v>0</v>
      </c>
      <c r="F131" s="305">
        <f>'[2]CDCM Volume Forecasts'!F131</f>
        <v>0</v>
      </c>
      <c r="G131" s="304">
        <f>'[2]CDCM Volume Forecasts'!G131</f>
        <v>0</v>
      </c>
      <c r="H131" s="305">
        <f>'[2]CDCM Volume Forecasts'!H131</f>
        <v>0</v>
      </c>
      <c r="I131" s="305">
        <f>'[2]CDCM Volume Forecasts'!I131</f>
        <v>0</v>
      </c>
      <c r="J131" s="305">
        <f>'[2]CDCM Volume Forecasts'!J131</f>
        <v>0</v>
      </c>
      <c r="K131" s="304">
        <f t="shared" si="44"/>
        <v>0</v>
      </c>
      <c r="L131" s="305">
        <f t="shared" si="45"/>
        <v>0</v>
      </c>
      <c r="M131" s="305">
        <f t="shared" si="46"/>
        <v>0</v>
      </c>
      <c r="N131" s="304">
        <f t="shared" si="47"/>
        <v>0</v>
      </c>
      <c r="O131" s="305">
        <f t="shared" si="48"/>
        <v>0</v>
      </c>
      <c r="P131" s="305"/>
      <c r="Q131" s="305"/>
      <c r="R131" s="304">
        <f t="shared" si="49"/>
        <v>0</v>
      </c>
      <c r="S131" s="305">
        <f t="shared" si="50"/>
        <v>0</v>
      </c>
      <c r="T131" s="305">
        <f t="shared" si="51"/>
        <v>0</v>
      </c>
      <c r="U131" s="304">
        <f t="shared" si="52"/>
        <v>0</v>
      </c>
      <c r="V131" s="305">
        <f t="shared" si="53"/>
        <v>0</v>
      </c>
      <c r="W131" s="305"/>
      <c r="X131" s="305"/>
      <c r="Y131" s="304">
        <f t="shared" si="54"/>
        <v>0</v>
      </c>
      <c r="Z131" s="305">
        <f t="shared" si="55"/>
        <v>0</v>
      </c>
      <c r="AA131" s="305">
        <f t="shared" si="56"/>
        <v>0</v>
      </c>
      <c r="AB131" s="304">
        <f t="shared" si="57"/>
        <v>0</v>
      </c>
      <c r="AC131" s="305">
        <f t="shared" si="58"/>
        <v>0</v>
      </c>
      <c r="AD131" s="305"/>
      <c r="AE131" s="305"/>
      <c r="AF131" s="304">
        <f t="shared" si="59"/>
        <v>0</v>
      </c>
      <c r="AG131" s="305">
        <f t="shared" si="60"/>
        <v>0</v>
      </c>
      <c r="AH131" s="305">
        <f t="shared" si="61"/>
        <v>0</v>
      </c>
      <c r="AI131" s="304">
        <f t="shared" si="62"/>
        <v>0</v>
      </c>
      <c r="AJ131" s="305">
        <f t="shared" si="63"/>
        <v>0</v>
      </c>
      <c r="AK131" s="305"/>
      <c r="AL131" s="305"/>
    </row>
    <row r="132" spans="1:38" ht="15">
      <c r="A132" s="26">
        <f t="shared" si="43"/>
        <v>105</v>
      </c>
      <c r="B132" s="171"/>
      <c r="C132" s="259" t="s">
        <v>167</v>
      </c>
      <c r="D132" s="303">
        <f>'[2]CDCM Volume Forecasts'!D132</f>
        <v>0</v>
      </c>
      <c r="E132" s="303">
        <f>'[2]CDCM Volume Forecasts'!E132</f>
        <v>0</v>
      </c>
      <c r="F132" s="303">
        <f>'[2]CDCM Volume Forecasts'!F132</f>
        <v>0</v>
      </c>
      <c r="G132" s="303">
        <f>'[2]CDCM Volume Forecasts'!G132</f>
        <v>0</v>
      </c>
      <c r="H132" s="303">
        <f>'[2]CDCM Volume Forecasts'!H132</f>
        <v>0</v>
      </c>
      <c r="I132" s="303">
        <f>'[2]CDCM Volume Forecasts'!I132</f>
        <v>0</v>
      </c>
      <c r="J132" s="303">
        <f>'[2]CDCM Volume Forecasts'!J132</f>
        <v>0</v>
      </c>
      <c r="K132" s="303">
        <f t="shared" si="44"/>
        <v>0</v>
      </c>
      <c r="L132" s="303">
        <f t="shared" si="45"/>
        <v>0</v>
      </c>
      <c r="M132" s="303">
        <f t="shared" si="46"/>
        <v>0</v>
      </c>
      <c r="N132" s="303">
        <f t="shared" si="47"/>
        <v>0</v>
      </c>
      <c r="O132" s="303">
        <f t="shared" si="48"/>
        <v>0</v>
      </c>
      <c r="P132" s="303"/>
      <c r="Q132" s="303"/>
      <c r="R132" s="303">
        <f t="shared" si="49"/>
        <v>0</v>
      </c>
      <c r="S132" s="303">
        <f t="shared" si="50"/>
        <v>0</v>
      </c>
      <c r="T132" s="303">
        <f t="shared" si="51"/>
        <v>0</v>
      </c>
      <c r="U132" s="303">
        <f t="shared" si="52"/>
        <v>0</v>
      </c>
      <c r="V132" s="303">
        <f t="shared" si="53"/>
        <v>0</v>
      </c>
      <c r="W132" s="303"/>
      <c r="X132" s="303"/>
      <c r="Y132" s="303">
        <f t="shared" si="54"/>
        <v>0</v>
      </c>
      <c r="Z132" s="303">
        <f t="shared" si="55"/>
        <v>0</v>
      </c>
      <c r="AA132" s="303">
        <f t="shared" si="56"/>
        <v>0</v>
      </c>
      <c r="AB132" s="303">
        <f t="shared" si="57"/>
        <v>0</v>
      </c>
      <c r="AC132" s="303">
        <f t="shared" si="58"/>
        <v>0</v>
      </c>
      <c r="AD132" s="303"/>
      <c r="AE132" s="303"/>
      <c r="AF132" s="303">
        <f t="shared" si="59"/>
        <v>0</v>
      </c>
      <c r="AG132" s="303">
        <f t="shared" si="60"/>
        <v>0</v>
      </c>
      <c r="AH132" s="303">
        <f t="shared" si="61"/>
        <v>0</v>
      </c>
      <c r="AI132" s="303">
        <f t="shared" si="62"/>
        <v>0</v>
      </c>
      <c r="AJ132" s="303">
        <f t="shared" si="63"/>
        <v>0</v>
      </c>
      <c r="AK132" s="303"/>
      <c r="AL132" s="303"/>
    </row>
    <row r="133" spans="1:38" ht="15">
      <c r="A133" s="26">
        <f t="shared" si="43"/>
        <v>106</v>
      </c>
      <c r="B133" s="171">
        <v>4</v>
      </c>
      <c r="C133" s="260" t="s">
        <v>75</v>
      </c>
      <c r="D133" s="304">
        <f>'[2]CDCM Volume Forecasts'!D133</f>
        <v>18175.24295154327</v>
      </c>
      <c r="E133" s="304">
        <f>'[2]CDCM Volume Forecasts'!E133</f>
        <v>96563.406957456726</v>
      </c>
      <c r="F133" s="304">
        <f>'[2]CDCM Volume Forecasts'!F133</f>
        <v>133398.79562824525</v>
      </c>
      <c r="G133" s="304">
        <f>'[2]CDCM Volume Forecasts'!G133</f>
        <v>70.943264383561655</v>
      </c>
      <c r="H133" s="305">
        <f>'[2]CDCM Volume Forecasts'!H133</f>
        <v>0</v>
      </c>
      <c r="I133" s="305">
        <f>'[2]CDCM Volume Forecasts'!I133</f>
        <v>0</v>
      </c>
      <c r="J133" s="304">
        <f>'[2]CDCM Volume Forecasts'!J133</f>
        <v>2452.5003561982758</v>
      </c>
      <c r="K133" s="304">
        <f t="shared" si="44"/>
        <v>18175.24295154327</v>
      </c>
      <c r="L133" s="304">
        <f t="shared" si="45"/>
        <v>96563.406957456726</v>
      </c>
      <c r="M133" s="304">
        <f t="shared" si="46"/>
        <v>133398.79562824525</v>
      </c>
      <c r="N133" s="304">
        <f t="shared" si="47"/>
        <v>70.943264383561655</v>
      </c>
      <c r="O133" s="305">
        <f t="shared" si="48"/>
        <v>0</v>
      </c>
      <c r="P133" s="305"/>
      <c r="Q133" s="304">
        <f t="shared" ref="Q133:Q134" si="84">IF(J133,((VLOOKUP($B133,$E$7:$AI$16,28)+1)*J133),)</f>
        <v>2452.5003561982758</v>
      </c>
      <c r="R133" s="304">
        <f t="shared" si="49"/>
        <v>18175.24295154327</v>
      </c>
      <c r="S133" s="304">
        <f t="shared" si="50"/>
        <v>96563.406957456726</v>
      </c>
      <c r="T133" s="304">
        <f t="shared" si="51"/>
        <v>133398.79562824525</v>
      </c>
      <c r="U133" s="304">
        <f t="shared" si="52"/>
        <v>70.943264383561655</v>
      </c>
      <c r="V133" s="305">
        <f t="shared" si="53"/>
        <v>0</v>
      </c>
      <c r="W133" s="305"/>
      <c r="X133" s="304">
        <f t="shared" ref="X133:X134" si="85">IF(J133,((VLOOKUP($B133,$E$7:$AI$16,5+24)+1)*Q133),)</f>
        <v>2452.5003561982758</v>
      </c>
      <c r="Y133" s="304">
        <f t="shared" si="54"/>
        <v>18175.24295154327</v>
      </c>
      <c r="Z133" s="304">
        <f t="shared" si="55"/>
        <v>96563.406957456726</v>
      </c>
      <c r="AA133" s="304">
        <f t="shared" si="56"/>
        <v>133398.79562824525</v>
      </c>
      <c r="AB133" s="304">
        <f t="shared" si="57"/>
        <v>70.943264383561655</v>
      </c>
      <c r="AC133" s="305">
        <f t="shared" si="58"/>
        <v>0</v>
      </c>
      <c r="AD133" s="305"/>
      <c r="AE133" s="304">
        <f t="shared" ref="AE133:AE134" si="86">IF(J133,((VLOOKUP($B133,$E$7:$AI$16,6+24)+1)*X133),)</f>
        <v>2452.5003561982758</v>
      </c>
      <c r="AF133" s="304">
        <f t="shared" si="59"/>
        <v>18175.24295154327</v>
      </c>
      <c r="AG133" s="304">
        <f t="shared" si="60"/>
        <v>96563.406957456726</v>
      </c>
      <c r="AH133" s="304">
        <f t="shared" si="61"/>
        <v>133398.79562824525</v>
      </c>
      <c r="AI133" s="304">
        <f t="shared" si="62"/>
        <v>70.943264383561655</v>
      </c>
      <c r="AJ133" s="305">
        <f t="shared" si="63"/>
        <v>0</v>
      </c>
      <c r="AK133" s="305"/>
      <c r="AL133" s="304">
        <f t="shared" ref="AL133:AL134" si="87">IF(J133,((VLOOKUP($B133,$E$7:$AI$16,7+24)+1)*AE133),)</f>
        <v>2452.5003561982758</v>
      </c>
    </row>
    <row r="134" spans="1:38" ht="15">
      <c r="A134" s="26">
        <f t="shared" si="43"/>
        <v>107</v>
      </c>
      <c r="B134" s="171">
        <v>4</v>
      </c>
      <c r="C134" s="260" t="s">
        <v>168</v>
      </c>
      <c r="D134" s="304">
        <f>'[2]CDCM Volume Forecasts'!D134</f>
        <v>6.9664922394678516E-2</v>
      </c>
      <c r="E134" s="304">
        <f>'[2]CDCM Volume Forecasts'!E134</f>
        <v>0.88856101305223611</v>
      </c>
      <c r="F134" s="304">
        <f>'[2]CDCM Volume Forecasts'!F134</f>
        <v>2.9569237396821908</v>
      </c>
      <c r="G134" s="304">
        <f>'[2]CDCM Volume Forecasts'!G134</f>
        <v>1.3382136986301367</v>
      </c>
      <c r="H134" s="305">
        <f>'[2]CDCM Volume Forecasts'!H134</f>
        <v>0</v>
      </c>
      <c r="I134" s="305">
        <f>'[2]CDCM Volume Forecasts'!I134</f>
        <v>0</v>
      </c>
      <c r="J134" s="304">
        <f>'[2]CDCM Volume Forecasts'!J134</f>
        <v>0.9497207172413793</v>
      </c>
      <c r="K134" s="304">
        <f t="shared" si="44"/>
        <v>6.9664922394678516E-2</v>
      </c>
      <c r="L134" s="304">
        <f t="shared" si="45"/>
        <v>0.88856101305223611</v>
      </c>
      <c r="M134" s="304">
        <f t="shared" si="46"/>
        <v>2.9569237396821908</v>
      </c>
      <c r="N134" s="304">
        <f t="shared" si="47"/>
        <v>1.3382136986301367</v>
      </c>
      <c r="O134" s="305">
        <f t="shared" si="48"/>
        <v>0</v>
      </c>
      <c r="P134" s="305"/>
      <c r="Q134" s="304">
        <f t="shared" si="84"/>
        <v>0.9497207172413793</v>
      </c>
      <c r="R134" s="304">
        <f t="shared" si="49"/>
        <v>6.9664922394678516E-2</v>
      </c>
      <c r="S134" s="304">
        <f t="shared" si="50"/>
        <v>0.88856101305223611</v>
      </c>
      <c r="T134" s="304">
        <f t="shared" si="51"/>
        <v>2.9569237396821908</v>
      </c>
      <c r="U134" s="304">
        <f t="shared" si="52"/>
        <v>1.3382136986301367</v>
      </c>
      <c r="V134" s="305">
        <f t="shared" si="53"/>
        <v>0</v>
      </c>
      <c r="W134" s="305"/>
      <c r="X134" s="304">
        <f t="shared" si="85"/>
        <v>0.9497207172413793</v>
      </c>
      <c r="Y134" s="304">
        <f t="shared" si="54"/>
        <v>6.9664922394678516E-2</v>
      </c>
      <c r="Z134" s="304">
        <f t="shared" si="55"/>
        <v>0.88856101305223611</v>
      </c>
      <c r="AA134" s="304">
        <f t="shared" si="56"/>
        <v>2.9569237396821908</v>
      </c>
      <c r="AB134" s="304">
        <f t="shared" si="57"/>
        <v>1.3382136986301367</v>
      </c>
      <c r="AC134" s="305">
        <f t="shared" si="58"/>
        <v>0</v>
      </c>
      <c r="AD134" s="305"/>
      <c r="AE134" s="304">
        <f t="shared" si="86"/>
        <v>0.9497207172413793</v>
      </c>
      <c r="AF134" s="304">
        <f t="shared" si="59"/>
        <v>6.9664922394678516E-2</v>
      </c>
      <c r="AG134" s="304">
        <f t="shared" si="60"/>
        <v>0.88856101305223611</v>
      </c>
      <c r="AH134" s="304">
        <f t="shared" si="61"/>
        <v>2.9569237396821908</v>
      </c>
      <c r="AI134" s="304">
        <f t="shared" si="62"/>
        <v>1.3382136986301367</v>
      </c>
      <c r="AJ134" s="305">
        <f t="shared" si="63"/>
        <v>0</v>
      </c>
      <c r="AK134" s="305"/>
      <c r="AL134" s="304">
        <f t="shared" si="87"/>
        <v>0.9497207172413793</v>
      </c>
    </row>
    <row r="135" spans="1:38" ht="15">
      <c r="A135" s="26">
        <f t="shared" si="43"/>
        <v>108</v>
      </c>
      <c r="B135" s="171"/>
      <c r="C135" s="259" t="s">
        <v>1564</v>
      </c>
      <c r="D135" s="303">
        <f>'[2]CDCM Volume Forecasts'!D135</f>
        <v>0</v>
      </c>
      <c r="E135" s="303">
        <f>'[2]CDCM Volume Forecasts'!E135</f>
        <v>0</v>
      </c>
      <c r="F135" s="303">
        <f>'[2]CDCM Volume Forecasts'!F135</f>
        <v>0</v>
      </c>
      <c r="G135" s="303">
        <f>'[2]CDCM Volume Forecasts'!G135</f>
        <v>0</v>
      </c>
      <c r="H135" s="303">
        <f>'[2]CDCM Volume Forecasts'!H135</f>
        <v>0</v>
      </c>
      <c r="I135" s="303">
        <f>'[2]CDCM Volume Forecasts'!I135</f>
        <v>0</v>
      </c>
      <c r="J135" s="303">
        <f>'[2]CDCM Volume Forecasts'!J135</f>
        <v>0</v>
      </c>
      <c r="K135" s="303">
        <f t="shared" si="44"/>
        <v>0</v>
      </c>
      <c r="L135" s="303">
        <f t="shared" si="45"/>
        <v>0</v>
      </c>
      <c r="M135" s="303">
        <f t="shared" si="46"/>
        <v>0</v>
      </c>
      <c r="N135" s="303">
        <f t="shared" si="47"/>
        <v>0</v>
      </c>
      <c r="O135" s="303">
        <f t="shared" si="48"/>
        <v>0</v>
      </c>
      <c r="P135" s="303"/>
      <c r="Q135" s="303"/>
      <c r="R135" s="303">
        <f t="shared" si="49"/>
        <v>0</v>
      </c>
      <c r="S135" s="303">
        <f t="shared" si="50"/>
        <v>0</v>
      </c>
      <c r="T135" s="303">
        <f t="shared" si="51"/>
        <v>0</v>
      </c>
      <c r="U135" s="303">
        <f t="shared" si="52"/>
        <v>0</v>
      </c>
      <c r="V135" s="303">
        <f t="shared" si="53"/>
        <v>0</v>
      </c>
      <c r="W135" s="303"/>
      <c r="X135" s="303"/>
      <c r="Y135" s="303">
        <f t="shared" si="54"/>
        <v>0</v>
      </c>
      <c r="Z135" s="303">
        <f t="shared" si="55"/>
        <v>0</v>
      </c>
      <c r="AA135" s="303">
        <f t="shared" si="56"/>
        <v>0</v>
      </c>
      <c r="AB135" s="303">
        <f t="shared" si="57"/>
        <v>0</v>
      </c>
      <c r="AC135" s="303">
        <f t="shared" si="58"/>
        <v>0</v>
      </c>
      <c r="AD135" s="303"/>
      <c r="AE135" s="303"/>
      <c r="AF135" s="303">
        <f t="shared" si="59"/>
        <v>0</v>
      </c>
      <c r="AG135" s="303">
        <f t="shared" si="60"/>
        <v>0</v>
      </c>
      <c r="AH135" s="303">
        <f t="shared" si="61"/>
        <v>0</v>
      </c>
      <c r="AI135" s="303">
        <f t="shared" si="62"/>
        <v>0</v>
      </c>
      <c r="AJ135" s="303">
        <f t="shared" si="63"/>
        <v>0</v>
      </c>
      <c r="AK135" s="303"/>
      <c r="AL135" s="303"/>
    </row>
    <row r="136" spans="1:38" ht="15">
      <c r="A136" s="26">
        <f t="shared" si="43"/>
        <v>109</v>
      </c>
      <c r="B136" s="171">
        <v>4</v>
      </c>
      <c r="C136" s="260" t="s">
        <v>1521</v>
      </c>
      <c r="D136" s="304">
        <f>'[2]CDCM Volume Forecasts'!D136</f>
        <v>0</v>
      </c>
      <c r="E136" s="304">
        <f>'[2]CDCM Volume Forecasts'!E136</f>
        <v>0</v>
      </c>
      <c r="F136" s="304">
        <f>'[2]CDCM Volume Forecasts'!F136</f>
        <v>0</v>
      </c>
      <c r="G136" s="304">
        <f>'[2]CDCM Volume Forecasts'!G136</f>
        <v>0</v>
      </c>
      <c r="H136" s="305">
        <f>'[2]CDCM Volume Forecasts'!H136</f>
        <v>0</v>
      </c>
      <c r="I136" s="305">
        <f>'[2]CDCM Volume Forecasts'!I136</f>
        <v>0</v>
      </c>
      <c r="J136" s="305">
        <f>'[2]CDCM Volume Forecasts'!J136</f>
        <v>0</v>
      </c>
      <c r="K136" s="304">
        <f t="shared" si="44"/>
        <v>0</v>
      </c>
      <c r="L136" s="304">
        <f t="shared" si="45"/>
        <v>0</v>
      </c>
      <c r="M136" s="304">
        <f t="shared" si="46"/>
        <v>0</v>
      </c>
      <c r="N136" s="304">
        <f t="shared" si="47"/>
        <v>0</v>
      </c>
      <c r="O136" s="305">
        <f t="shared" si="48"/>
        <v>0</v>
      </c>
      <c r="P136" s="305"/>
      <c r="Q136" s="305"/>
      <c r="R136" s="304">
        <f t="shared" si="49"/>
        <v>0</v>
      </c>
      <c r="S136" s="304">
        <f t="shared" si="50"/>
        <v>0</v>
      </c>
      <c r="T136" s="304">
        <f t="shared" si="51"/>
        <v>0</v>
      </c>
      <c r="U136" s="304">
        <f t="shared" si="52"/>
        <v>0</v>
      </c>
      <c r="V136" s="305">
        <f t="shared" si="53"/>
        <v>0</v>
      </c>
      <c r="W136" s="305"/>
      <c r="X136" s="305"/>
      <c r="Y136" s="304">
        <f t="shared" si="54"/>
        <v>0</v>
      </c>
      <c r="Z136" s="304">
        <f t="shared" si="55"/>
        <v>0</v>
      </c>
      <c r="AA136" s="304">
        <f t="shared" si="56"/>
        <v>0</v>
      </c>
      <c r="AB136" s="304">
        <f t="shared" si="57"/>
        <v>0</v>
      </c>
      <c r="AC136" s="305">
        <f t="shared" si="58"/>
        <v>0</v>
      </c>
      <c r="AD136" s="305"/>
      <c r="AE136" s="305"/>
      <c r="AF136" s="304">
        <f t="shared" si="59"/>
        <v>0</v>
      </c>
      <c r="AG136" s="304">
        <f t="shared" si="60"/>
        <v>0</v>
      </c>
      <c r="AH136" s="304">
        <f t="shared" si="61"/>
        <v>0</v>
      </c>
      <c r="AI136" s="304">
        <f t="shared" si="62"/>
        <v>0</v>
      </c>
      <c r="AJ136" s="305">
        <f t="shared" si="63"/>
        <v>0</v>
      </c>
      <c r="AK136" s="305"/>
      <c r="AL136" s="305"/>
    </row>
    <row r="137" spans="1:38">
      <c r="B137" s="26"/>
      <c r="D137" s="170"/>
      <c r="E137" s="170"/>
      <c r="F137" s="170"/>
    </row>
  </sheetData>
  <mergeCells count="13">
    <mergeCell ref="AF4:AI4"/>
    <mergeCell ref="AB4:AE4"/>
    <mergeCell ref="G3:AE3"/>
    <mergeCell ref="G4:K4"/>
    <mergeCell ref="L4:O4"/>
    <mergeCell ref="P4:S4"/>
    <mergeCell ref="T4:W4"/>
    <mergeCell ref="X4:AA4"/>
    <mergeCell ref="AF26:AL26"/>
    <mergeCell ref="Y26:AE26"/>
    <mergeCell ref="R26:X26"/>
    <mergeCell ref="D26:J26"/>
    <mergeCell ref="K26:Q26"/>
  </mergeCells>
  <dataValidations count="2">
    <dataValidation type="textLength" operator="equal" allowBlank="1" showInputMessage="1" showErrorMessage="1" error="This cell should remain blank." sqref="D28:J28 D32:J32 D36:J36 D40:J40 D44:J44 D48:J48 D52:J52 D56:J56 D58:J58 D60:J60 D64:J64 D68:J68 D72:J72 D75:J75 D78:J78 D82:J82 D86:J86 D90:J90 D94:J94 D98:J98 D102:J102 D105:J105 D109:J109 D113:J113 D116:J116 D119:J119 D122:J122">
      <formula1>0</formula1>
    </dataValidation>
    <dataValidation type="decimal" operator="greaterThanOrEqual" allowBlank="1" showInputMessage="1" showErrorMessage="1" errorTitle="Volume data error" error="The volume must be a non-negative number." sqref="D29:J31 D33:J35 D37:J39 D41:J43 D45:J47 D49:J51 D53:J55 D57:J57 D59:J59 D61:J63 D65:J67 D69:J71 D73:J74 D76:J77 D79:J81 D83:J85 D87:J89 D91:J93 D95:J97 D99:J101 D103:J104 D106:J108 D110:J112 D114:J115 D117:J118 D120:J121 D123:J136">
      <formula1>0</formula1>
    </dataValidation>
  </dataValidation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1"/>
  </sheetPr>
  <dimension ref="B2:I22"/>
  <sheetViews>
    <sheetView showGridLines="0" workbookViewId="0">
      <selection activeCell="C20" sqref="C20"/>
    </sheetView>
  </sheetViews>
  <sheetFormatPr defaultColWidth="8.85546875" defaultRowHeight="12.75"/>
  <cols>
    <col min="1" max="1" width="8.85546875" style="26"/>
    <col min="2" max="2" width="11.42578125" style="26" customWidth="1"/>
    <col min="3" max="3" width="19.42578125" style="26" customWidth="1"/>
    <col min="4" max="5" width="17.140625" style="26" customWidth="1"/>
    <col min="6" max="9" width="20.85546875" style="26" customWidth="1"/>
    <col min="10" max="16384" width="8.85546875" style="26"/>
  </cols>
  <sheetData>
    <row r="2" spans="2:9">
      <c r="B2" s="202" t="s">
        <v>995</v>
      </c>
    </row>
    <row r="4" spans="2:9" ht="40.5" customHeight="1">
      <c r="C4" s="368" t="s">
        <v>1412</v>
      </c>
      <c r="D4" s="369"/>
    </row>
    <row r="5" spans="2:9" ht="40.5" customHeight="1">
      <c r="C5" s="201" t="s">
        <v>1106</v>
      </c>
      <c r="D5" s="201" t="s">
        <v>1102</v>
      </c>
      <c r="E5" s="200" t="s">
        <v>1413</v>
      </c>
      <c r="F5" s="200" t="s">
        <v>1414</v>
      </c>
      <c r="G5" s="200" t="s">
        <v>1415</v>
      </c>
      <c r="H5" s="200" t="s">
        <v>1734</v>
      </c>
    </row>
    <row r="6" spans="2:9">
      <c r="B6" s="196" t="s">
        <v>195</v>
      </c>
      <c r="C6" s="171" t="str">
        <f>'[2]CDCM Timebands'!C6</f>
        <v>17:00 to 19:00</v>
      </c>
      <c r="D6" s="199"/>
      <c r="E6" s="365" t="str">
        <f>'[2]CDCM Timebands'!E6</f>
        <v>No Change</v>
      </c>
      <c r="F6" s="365" t="str">
        <f>'[2]CDCM Timebands'!F6</f>
        <v>No Change</v>
      </c>
      <c r="G6" s="365" t="str">
        <f>'[2]CDCM Timebands'!G6</f>
        <v>No Change</v>
      </c>
      <c r="H6" s="365" t="str">
        <f>'[2]CDCM Timebands'!H6</f>
        <v>No Change</v>
      </c>
    </row>
    <row r="7" spans="2:9">
      <c r="B7" s="196"/>
      <c r="C7" s="171"/>
      <c r="D7" s="171"/>
      <c r="E7" s="366">
        <f>'[2]CDCM Timebands'!E7</f>
        <v>0</v>
      </c>
      <c r="F7" s="366">
        <f>'[2]CDCM Timebands'!F7</f>
        <v>0</v>
      </c>
      <c r="G7" s="366">
        <f>'[2]CDCM Timebands'!G7</f>
        <v>0</v>
      </c>
      <c r="H7" s="366">
        <f>'[2]CDCM Timebands'!H7</f>
        <v>0</v>
      </c>
    </row>
    <row r="8" spans="2:9">
      <c r="B8" s="196" t="s">
        <v>1105</v>
      </c>
      <c r="C8" s="171" t="str">
        <f>'[2]CDCM Timebands'!C8</f>
        <v>07:30 to 17:00</v>
      </c>
      <c r="D8" s="171" t="str">
        <f>'[2]CDCM Timebands'!D8</f>
        <v>16:30 to 19:30</v>
      </c>
      <c r="E8" s="366">
        <f>'[2]CDCM Timebands'!E8</f>
        <v>0</v>
      </c>
      <c r="F8" s="366">
        <f>'[2]CDCM Timebands'!F8</f>
        <v>0</v>
      </c>
      <c r="G8" s="366">
        <f>'[2]CDCM Timebands'!G8</f>
        <v>0</v>
      </c>
      <c r="H8" s="366">
        <f>'[2]CDCM Timebands'!H8</f>
        <v>0</v>
      </c>
    </row>
    <row r="9" spans="2:9">
      <c r="B9" s="196"/>
      <c r="C9" s="171" t="str">
        <f>'[2]CDCM Timebands'!C9</f>
        <v>19:00 to 21:30</v>
      </c>
      <c r="D9" s="171"/>
      <c r="E9" s="366">
        <f>'[2]CDCM Timebands'!E9</f>
        <v>0</v>
      </c>
      <c r="F9" s="366">
        <f>'[2]CDCM Timebands'!F9</f>
        <v>0</v>
      </c>
      <c r="G9" s="366">
        <f>'[2]CDCM Timebands'!G9</f>
        <v>0</v>
      </c>
      <c r="H9" s="366">
        <f>'[2]CDCM Timebands'!H9</f>
        <v>0</v>
      </c>
    </row>
    <row r="10" spans="2:9">
      <c r="B10" s="196"/>
      <c r="C10" s="171"/>
      <c r="D10" s="171"/>
      <c r="E10" s="366">
        <f>'[2]CDCM Timebands'!E10</f>
        <v>0</v>
      </c>
      <c r="F10" s="366">
        <f>'[2]CDCM Timebands'!F10</f>
        <v>0</v>
      </c>
      <c r="G10" s="366">
        <f>'[2]CDCM Timebands'!G10</f>
        <v>0</v>
      </c>
      <c r="H10" s="366">
        <f>'[2]CDCM Timebands'!H10</f>
        <v>0</v>
      </c>
    </row>
    <row r="11" spans="2:9">
      <c r="B11" s="196" t="s">
        <v>197</v>
      </c>
      <c r="C11" s="171" t="str">
        <f>'[2]CDCM Timebands'!C11</f>
        <v>00:00 to 07:30</v>
      </c>
      <c r="D11" s="171" t="str">
        <f>'[2]CDCM Timebands'!D11</f>
        <v>00:00 to 16:30</v>
      </c>
      <c r="E11" s="366">
        <f>'[2]CDCM Timebands'!E11</f>
        <v>0</v>
      </c>
      <c r="F11" s="366">
        <f>'[2]CDCM Timebands'!F11</f>
        <v>0</v>
      </c>
      <c r="G11" s="366">
        <f>'[2]CDCM Timebands'!G11</f>
        <v>0</v>
      </c>
      <c r="H11" s="366">
        <f>'[2]CDCM Timebands'!H11</f>
        <v>0</v>
      </c>
    </row>
    <row r="12" spans="2:9">
      <c r="B12" s="196"/>
      <c r="C12" s="171" t="str">
        <f>'[2]CDCM Timebands'!C12</f>
        <v>21:30 to 24:00</v>
      </c>
      <c r="D12" s="171" t="str">
        <f>'[2]CDCM Timebands'!D12</f>
        <v>19:30 to 24:00</v>
      </c>
      <c r="E12" s="367">
        <f>'[2]CDCM Timebands'!E12</f>
        <v>0</v>
      </c>
      <c r="F12" s="367">
        <f>'[2]CDCM Timebands'!F12</f>
        <v>0</v>
      </c>
      <c r="G12" s="367">
        <f>'[2]CDCM Timebands'!G12</f>
        <v>0</v>
      </c>
      <c r="H12" s="367">
        <f>'[2]CDCM Timebands'!H12</f>
        <v>0</v>
      </c>
    </row>
    <row r="14" spans="2:9">
      <c r="C14" s="368" t="s">
        <v>1412</v>
      </c>
      <c r="D14" s="370"/>
      <c r="E14" s="369"/>
    </row>
    <row r="15" spans="2:9" ht="38.25">
      <c r="C15" s="201" t="s">
        <v>1104</v>
      </c>
      <c r="D15" s="201" t="s">
        <v>1103</v>
      </c>
      <c r="E15" s="201" t="s">
        <v>1102</v>
      </c>
      <c r="F15" s="200" t="s">
        <v>1413</v>
      </c>
      <c r="G15" s="200" t="s">
        <v>1414</v>
      </c>
      <c r="H15" s="200" t="s">
        <v>1415</v>
      </c>
      <c r="I15" s="200" t="s">
        <v>1734</v>
      </c>
    </row>
    <row r="16" spans="2:9">
      <c r="B16" s="196" t="s">
        <v>200</v>
      </c>
      <c r="C16" s="171" t="str">
        <f>'[2]CDCM Timebands'!C16</f>
        <v>17:00 to 19:00</v>
      </c>
      <c r="D16" s="199"/>
      <c r="E16" s="199"/>
      <c r="F16" s="365" t="str">
        <f>'[2]CDCM Timebands'!F16</f>
        <v>No Change</v>
      </c>
      <c r="G16" s="365" t="str">
        <f>'[2]CDCM Timebands'!G16</f>
        <v>No Change</v>
      </c>
      <c r="H16" s="365" t="str">
        <f>'[2]CDCM Timebands'!H16</f>
        <v>No Change</v>
      </c>
      <c r="I16" s="365" t="str">
        <f>'[2]CDCM Timebands'!I16</f>
        <v>No Change</v>
      </c>
    </row>
    <row r="17" spans="2:9">
      <c r="B17" s="196"/>
      <c r="C17" s="171"/>
      <c r="D17" s="171"/>
      <c r="E17" s="171"/>
      <c r="F17" s="366">
        <f>'[2]CDCM Timebands'!F17</f>
        <v>0</v>
      </c>
      <c r="G17" s="366">
        <f>'[2]CDCM Timebands'!G17</f>
        <v>0</v>
      </c>
      <c r="H17" s="366">
        <f>'[2]CDCM Timebands'!H17</f>
        <v>0</v>
      </c>
      <c r="I17" s="366">
        <f>'[2]CDCM Timebands'!I17</f>
        <v>0</v>
      </c>
    </row>
    <row r="18" spans="2:9">
      <c r="B18" s="196" t="s">
        <v>201</v>
      </c>
      <c r="C18" s="171" t="str">
        <f>'[2]CDCM Timebands'!C18</f>
        <v>07:30 to 17:00</v>
      </c>
      <c r="D18" s="171" t="str">
        <f>'[2]CDCM Timebands'!D18</f>
        <v>07:30 to 21:30</v>
      </c>
      <c r="E18" s="171" t="str">
        <f>'[2]CDCM Timebands'!E18</f>
        <v>16:30 to 19:30</v>
      </c>
      <c r="F18" s="366">
        <f>'[2]CDCM Timebands'!F18</f>
        <v>0</v>
      </c>
      <c r="G18" s="366">
        <f>'[2]CDCM Timebands'!G18</f>
        <v>0</v>
      </c>
      <c r="H18" s="366">
        <f>'[2]CDCM Timebands'!H18</f>
        <v>0</v>
      </c>
      <c r="I18" s="366">
        <f>'[2]CDCM Timebands'!I18</f>
        <v>0</v>
      </c>
    </row>
    <row r="19" spans="2:9">
      <c r="B19" s="196"/>
      <c r="C19" s="171" t="str">
        <f>'[2]CDCM Timebands'!C19</f>
        <v>19:00 to 21:30</v>
      </c>
      <c r="D19" s="171"/>
      <c r="E19" s="171"/>
      <c r="F19" s="366">
        <f>'[2]CDCM Timebands'!F19</f>
        <v>0</v>
      </c>
      <c r="G19" s="366">
        <f>'[2]CDCM Timebands'!G19</f>
        <v>0</v>
      </c>
      <c r="H19" s="366">
        <f>'[2]CDCM Timebands'!H19</f>
        <v>0</v>
      </c>
      <c r="I19" s="366">
        <f>'[2]CDCM Timebands'!I19</f>
        <v>0</v>
      </c>
    </row>
    <row r="20" spans="2:9">
      <c r="B20" s="196"/>
      <c r="C20" s="171"/>
      <c r="D20" s="171"/>
      <c r="E20" s="171"/>
      <c r="F20" s="366">
        <f>'[2]CDCM Timebands'!F20</f>
        <v>0</v>
      </c>
      <c r="G20" s="366">
        <f>'[2]CDCM Timebands'!G20</f>
        <v>0</v>
      </c>
      <c r="H20" s="366">
        <f>'[2]CDCM Timebands'!H20</f>
        <v>0</v>
      </c>
      <c r="I20" s="366">
        <f>'[2]CDCM Timebands'!I20</f>
        <v>0</v>
      </c>
    </row>
    <row r="21" spans="2:9">
      <c r="B21" s="196" t="s">
        <v>197</v>
      </c>
      <c r="C21" s="171" t="str">
        <f>'[2]CDCM Timebands'!C21</f>
        <v>00:00 to 07:30</v>
      </c>
      <c r="D21" s="171" t="str">
        <f>'[2]CDCM Timebands'!D21</f>
        <v>00:00 to 07:30</v>
      </c>
      <c r="E21" s="171" t="str">
        <f>'[2]CDCM Timebands'!E21</f>
        <v>00:00 to 16:30</v>
      </c>
      <c r="F21" s="366">
        <f>'[2]CDCM Timebands'!F21</f>
        <v>0</v>
      </c>
      <c r="G21" s="366">
        <f>'[2]CDCM Timebands'!G21</f>
        <v>0</v>
      </c>
      <c r="H21" s="366">
        <f>'[2]CDCM Timebands'!H21</f>
        <v>0</v>
      </c>
      <c r="I21" s="366">
        <f>'[2]CDCM Timebands'!I21</f>
        <v>0</v>
      </c>
    </row>
    <row r="22" spans="2:9">
      <c r="B22" s="196"/>
      <c r="C22" s="171" t="str">
        <f>'[2]CDCM Timebands'!C22</f>
        <v>21:30 to 24:00</v>
      </c>
      <c r="D22" s="171" t="str">
        <f>'[2]CDCM Timebands'!D22</f>
        <v>21:30 to 24:00</v>
      </c>
      <c r="E22" s="171" t="str">
        <f>'[2]CDCM Timebands'!E22</f>
        <v>19:30 to 24:00</v>
      </c>
      <c r="F22" s="367">
        <f>'[2]CDCM Timebands'!F22</f>
        <v>0</v>
      </c>
      <c r="G22" s="367">
        <f>'[2]CDCM Timebands'!G22</f>
        <v>0</v>
      </c>
      <c r="H22" s="367">
        <f>'[2]CDCM Timebands'!H22</f>
        <v>0</v>
      </c>
      <c r="I22" s="367">
        <f>'[2]CDCM Timebands'!I22</f>
        <v>0</v>
      </c>
    </row>
  </sheetData>
  <mergeCells count="10">
    <mergeCell ref="F16:F22"/>
    <mergeCell ref="G16:G22"/>
    <mergeCell ref="H16:H22"/>
    <mergeCell ref="I16:I22"/>
    <mergeCell ref="C4:D4"/>
    <mergeCell ref="E6:E12"/>
    <mergeCell ref="F6:F12"/>
    <mergeCell ref="G6:G12"/>
    <mergeCell ref="H6:H12"/>
    <mergeCell ref="C14:E14"/>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350"/>
  <sheetViews>
    <sheetView showGridLines="0" workbookViewId="0">
      <selection activeCell="A4" sqref="A4:K350"/>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1124</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224</v>
      </c>
      <c r="B5"/>
      <c r="C5"/>
      <c r="D5"/>
      <c r="E5"/>
      <c r="F5"/>
      <c r="G5"/>
      <c r="H5"/>
      <c r="I5"/>
      <c r="J5"/>
      <c r="K5"/>
    </row>
    <row r="6" spans="1:11" ht="15">
      <c r="A6"/>
      <c r="B6" s="3" t="s">
        <v>1</v>
      </c>
      <c r="C6" s="3" t="s">
        <v>2</v>
      </c>
      <c r="D6" s="3" t="s">
        <v>3</v>
      </c>
      <c r="E6"/>
      <c r="F6"/>
      <c r="G6"/>
      <c r="H6"/>
      <c r="I6"/>
      <c r="J6"/>
      <c r="K6"/>
    </row>
    <row r="7" spans="1:11" ht="15">
      <c r="A7" s="8" t="s">
        <v>4</v>
      </c>
      <c r="B7" s="9">
        <f>VLOOKUP(Vlookup!B7,'CDCM Forecast Data'!$A$14:$I$271,5,FALSE)</f>
        <v>0</v>
      </c>
      <c r="C7" s="9">
        <f>VLOOKUP(Vlookup!C7,'CDCM Forecast Data'!$A$14:$I$271,5,FALSE)</f>
        <v>0</v>
      </c>
      <c r="D7" s="9">
        <f>VLOOKUP(Vlookup!D7,'CDCM Forecast Data'!$A$14:$I$271,5,FALSE)</f>
        <v>0</v>
      </c>
      <c r="E7" s="7" t="s">
        <v>224</v>
      </c>
      <c r="F7"/>
      <c r="G7"/>
      <c r="H7"/>
      <c r="I7"/>
      <c r="J7"/>
      <c r="K7"/>
    </row>
    <row r="8" spans="1:11" ht="15">
      <c r="A8"/>
      <c r="B8"/>
      <c r="C8"/>
      <c r="D8"/>
      <c r="E8"/>
      <c r="F8"/>
      <c r="G8"/>
      <c r="H8"/>
      <c r="I8"/>
      <c r="J8"/>
      <c r="K8"/>
    </row>
    <row r="9" spans="1:11" ht="19.5">
      <c r="A9" s="1" t="s">
        <v>7</v>
      </c>
      <c r="B9"/>
      <c r="C9"/>
      <c r="D9"/>
      <c r="E9"/>
      <c r="F9"/>
      <c r="G9"/>
      <c r="H9"/>
      <c r="I9"/>
      <c r="J9"/>
      <c r="K9"/>
    </row>
    <row r="10" spans="1:11" ht="15">
      <c r="A10" s="2"/>
      <c r="B10"/>
      <c r="C10"/>
      <c r="D10"/>
      <c r="E10"/>
      <c r="F10"/>
      <c r="G10"/>
      <c r="H10"/>
      <c r="I10"/>
      <c r="J10"/>
      <c r="K10"/>
    </row>
    <row r="11" spans="1:11" ht="15">
      <c r="A11" s="2" t="s">
        <v>8</v>
      </c>
      <c r="B11"/>
      <c r="C11"/>
      <c r="D11"/>
      <c r="E11"/>
      <c r="F11"/>
      <c r="G11"/>
      <c r="H11"/>
      <c r="I11"/>
      <c r="J11"/>
      <c r="K11"/>
    </row>
    <row r="12" spans="1:11" ht="15">
      <c r="A12" t="s">
        <v>9</v>
      </c>
      <c r="B12"/>
      <c r="C12"/>
      <c r="D12"/>
      <c r="E12"/>
      <c r="F12"/>
      <c r="G12"/>
      <c r="H12"/>
      <c r="I12"/>
      <c r="J12"/>
      <c r="K12"/>
    </row>
    <row r="13" spans="1:11" ht="45">
      <c r="A13"/>
      <c r="B13" s="3" t="s">
        <v>10</v>
      </c>
      <c r="C13" s="3" t="s">
        <v>11</v>
      </c>
      <c r="D13" s="3" t="s">
        <v>12</v>
      </c>
      <c r="E13" s="3" t="s">
        <v>13</v>
      </c>
      <c r="F13" s="3" t="s">
        <v>1050</v>
      </c>
      <c r="G13"/>
      <c r="H13"/>
      <c r="I13"/>
      <c r="J13"/>
      <c r="K13"/>
    </row>
    <row r="14" spans="1:11" ht="15">
      <c r="A14" s="8" t="s">
        <v>14</v>
      </c>
      <c r="B14" s="11">
        <f>VLOOKUP(Vlookup!B14,'CDCM Forecast Data'!$A$14:$I$271,5,FALSE)</f>
        <v>4.2099999999999999E-2</v>
      </c>
      <c r="C14" s="10">
        <f>VLOOKUP(Vlookup!C14,'CDCM Forecast Data'!$A$14:$I$271,5,FALSE)</f>
        <v>40</v>
      </c>
      <c r="D14" s="5"/>
      <c r="E14" s="4">
        <f>VLOOKUP(Vlookup!E14,'CDCM Forecast Data'!$A$14:$I$271,5,FALSE)</f>
        <v>0.95</v>
      </c>
      <c r="F14" s="10">
        <f>VLOOKUP(Vlookup!F14,'CDCM Forecast Data'!$A$14:$I$271,5,FALSE)</f>
        <v>365</v>
      </c>
      <c r="G14" s="7" t="s">
        <v>224</v>
      </c>
      <c r="H14"/>
      <c r="I14"/>
      <c r="J14"/>
      <c r="K14"/>
    </row>
    <row r="15" spans="1:11" ht="15">
      <c r="A15"/>
      <c r="B15"/>
      <c r="C15"/>
      <c r="D15"/>
      <c r="E15"/>
      <c r="F15"/>
      <c r="G15"/>
      <c r="H15"/>
      <c r="I15"/>
      <c r="J15"/>
      <c r="K15"/>
    </row>
    <row r="16" spans="1:11" ht="19.5">
      <c r="A16" s="1" t="s">
        <v>15</v>
      </c>
      <c r="B16"/>
      <c r="C16"/>
      <c r="D16"/>
      <c r="E16"/>
      <c r="F16"/>
      <c r="G16"/>
      <c r="H16"/>
      <c r="I16"/>
      <c r="J16"/>
      <c r="K16"/>
    </row>
    <row r="17" spans="1:11" ht="15">
      <c r="A17" s="2"/>
      <c r="B17"/>
      <c r="C17"/>
      <c r="D17"/>
      <c r="E17"/>
      <c r="F17"/>
      <c r="G17"/>
      <c r="H17"/>
      <c r="I17"/>
      <c r="J17"/>
      <c r="K17"/>
    </row>
    <row r="18" spans="1:11" ht="15">
      <c r="A18" s="2" t="s">
        <v>16</v>
      </c>
      <c r="B18"/>
      <c r="C18"/>
      <c r="D18"/>
      <c r="E18"/>
      <c r="F18"/>
      <c r="G18"/>
      <c r="H18"/>
      <c r="I18"/>
      <c r="J18"/>
      <c r="K18"/>
    </row>
    <row r="19" spans="1:11" ht="15">
      <c r="A19" s="2" t="s">
        <v>17</v>
      </c>
      <c r="B19"/>
      <c r="C19"/>
      <c r="D19"/>
      <c r="E19"/>
      <c r="F19"/>
      <c r="G19"/>
      <c r="H19"/>
      <c r="I19"/>
      <c r="J19"/>
      <c r="K19"/>
    </row>
    <row r="20" spans="1:11" ht="15">
      <c r="A20" s="2" t="s">
        <v>18</v>
      </c>
      <c r="B20"/>
      <c r="C20"/>
      <c r="D20"/>
      <c r="E20"/>
      <c r="F20"/>
      <c r="G20"/>
      <c r="H20"/>
      <c r="I20"/>
      <c r="J20"/>
      <c r="K20"/>
    </row>
    <row r="21" spans="1:11" ht="15">
      <c r="A21" s="2" t="s">
        <v>19</v>
      </c>
      <c r="B21"/>
      <c r="C21"/>
      <c r="D21"/>
      <c r="E21"/>
      <c r="F21"/>
      <c r="G21"/>
      <c r="H21"/>
      <c r="I21"/>
      <c r="J21"/>
      <c r="K21"/>
    </row>
    <row r="22" spans="1:11" ht="15">
      <c r="A22" t="s">
        <v>20</v>
      </c>
      <c r="B22"/>
      <c r="C22"/>
      <c r="D22"/>
      <c r="E22"/>
      <c r="F22"/>
      <c r="G22"/>
      <c r="H22"/>
      <c r="I22"/>
      <c r="J22"/>
      <c r="K22"/>
    </row>
    <row r="23" spans="1:11" ht="60">
      <c r="A23"/>
      <c r="B23" s="3" t="s">
        <v>21</v>
      </c>
      <c r="C23"/>
      <c r="D23"/>
      <c r="E23"/>
      <c r="F23"/>
      <c r="G23"/>
      <c r="H23"/>
      <c r="I23"/>
      <c r="J23"/>
      <c r="K23"/>
    </row>
    <row r="24" spans="1:11" ht="15">
      <c r="A24" s="8" t="s">
        <v>22</v>
      </c>
      <c r="B24" s="11">
        <f>VLOOKUP(Vlookup!B24,'CDCM Forecast Data'!$A$14:$I$271,5,FALSE)</f>
        <v>2.1999999999999999E-2</v>
      </c>
      <c r="C24" s="7" t="s">
        <v>224</v>
      </c>
      <c r="D24"/>
      <c r="E24"/>
      <c r="F24"/>
      <c r="G24"/>
      <c r="H24"/>
      <c r="I24"/>
      <c r="J24"/>
      <c r="K24"/>
    </row>
    <row r="25" spans="1:11" ht="15">
      <c r="A25" s="8" t="s">
        <v>23</v>
      </c>
      <c r="B25" s="11">
        <f>VLOOKUP(Vlookup!B25,'CDCM Forecast Data'!$A$14:$I$271,5,FALSE)</f>
        <v>3.1E-2</v>
      </c>
      <c r="C25" s="7" t="s">
        <v>224</v>
      </c>
      <c r="D25"/>
      <c r="E25"/>
      <c r="F25"/>
      <c r="G25"/>
      <c r="H25"/>
      <c r="I25"/>
      <c r="J25"/>
      <c r="K25"/>
    </row>
    <row r="26" spans="1:11" ht="15">
      <c r="A26" s="8" t="s">
        <v>24</v>
      </c>
      <c r="B26" s="6"/>
      <c r="C26" s="7" t="s">
        <v>224</v>
      </c>
      <c r="D26"/>
      <c r="E26"/>
      <c r="F26"/>
      <c r="G26"/>
      <c r="H26"/>
      <c r="I26"/>
      <c r="J26"/>
      <c r="K26"/>
    </row>
    <row r="27" spans="1:11" ht="15">
      <c r="A27" s="8" t="s">
        <v>25</v>
      </c>
      <c r="B27" s="11">
        <f>VLOOKUP(Vlookup!B27,'CDCM Forecast Data'!$A$14:$I$271,5,FALSE)</f>
        <v>7.4999999999999997E-2</v>
      </c>
      <c r="C27" s="7" t="s">
        <v>224</v>
      </c>
      <c r="D27"/>
      <c r="E27"/>
      <c r="F27"/>
      <c r="G27"/>
      <c r="H27"/>
      <c r="I27"/>
      <c r="J27"/>
      <c r="K27"/>
    </row>
    <row r="28" spans="1:11" ht="15">
      <c r="A28" s="8" t="s">
        <v>26</v>
      </c>
      <c r="B28" s="6"/>
      <c r="C28" s="7" t="s">
        <v>224</v>
      </c>
      <c r="D28"/>
      <c r="E28"/>
      <c r="F28"/>
      <c r="G28"/>
      <c r="H28"/>
      <c r="I28"/>
      <c r="J28"/>
      <c r="K28"/>
    </row>
    <row r="29" spans="1:11" ht="15">
      <c r="A29" s="8" t="s">
        <v>27</v>
      </c>
      <c r="B29" s="11">
        <f>VLOOKUP(Vlookup!B29,'CDCM Forecast Data'!$A$14:$I$271,5,FALSE)</f>
        <v>0.37</v>
      </c>
      <c r="C29" s="7" t="s">
        <v>224</v>
      </c>
      <c r="D29"/>
      <c r="E29"/>
      <c r="F29"/>
      <c r="G29"/>
      <c r="H29"/>
      <c r="I29"/>
      <c r="J29"/>
      <c r="K29"/>
    </row>
    <row r="30" spans="1:11" ht="15">
      <c r="A30" s="8" t="s">
        <v>28</v>
      </c>
      <c r="B30" s="6"/>
      <c r="C30" s="7" t="s">
        <v>224</v>
      </c>
      <c r="D30"/>
      <c r="E30"/>
      <c r="F30"/>
      <c r="G30"/>
      <c r="H30"/>
      <c r="I30"/>
      <c r="J30"/>
      <c r="K30"/>
    </row>
    <row r="31" spans="1:11" ht="15">
      <c r="A31" s="8" t="s">
        <v>29</v>
      </c>
      <c r="B31" s="6"/>
      <c r="C31" s="7" t="s">
        <v>224</v>
      </c>
      <c r="D31"/>
      <c r="E31"/>
      <c r="F31"/>
      <c r="G31"/>
      <c r="H31"/>
      <c r="I31"/>
      <c r="J31"/>
      <c r="K31"/>
    </row>
    <row r="32" spans="1:11" ht="15">
      <c r="A32"/>
      <c r="B32"/>
      <c r="C32"/>
      <c r="D32"/>
      <c r="E32"/>
      <c r="F32"/>
      <c r="G32"/>
      <c r="H32"/>
      <c r="I32"/>
      <c r="J32"/>
      <c r="K32"/>
    </row>
    <row r="33" spans="1:11" ht="19.5">
      <c r="A33" s="1" t="s">
        <v>30</v>
      </c>
      <c r="B33"/>
      <c r="C33"/>
      <c r="D33"/>
      <c r="E33"/>
      <c r="F33"/>
      <c r="G33"/>
      <c r="H33"/>
      <c r="I33"/>
      <c r="J33"/>
      <c r="K33"/>
    </row>
    <row r="34" spans="1:11" ht="15">
      <c r="A34" t="s">
        <v>224</v>
      </c>
      <c r="B34"/>
      <c r="C34"/>
      <c r="D34"/>
      <c r="E34"/>
      <c r="F34"/>
      <c r="G34"/>
      <c r="H34"/>
      <c r="I34"/>
      <c r="J34"/>
      <c r="K34"/>
    </row>
    <row r="35" spans="1:11" ht="15">
      <c r="A35"/>
      <c r="B35" s="3" t="s">
        <v>31</v>
      </c>
      <c r="C35"/>
      <c r="D35"/>
      <c r="E35"/>
      <c r="F35"/>
      <c r="G35"/>
      <c r="H35"/>
      <c r="I35"/>
      <c r="J35"/>
      <c r="K35"/>
    </row>
    <row r="36" spans="1:11" ht="15">
      <c r="A36" s="8" t="s">
        <v>26</v>
      </c>
      <c r="B36" s="11">
        <f>VLOOKUP(Vlookup!B36,'CDCM Forecast Data'!$A$14:$I$271,5,FALSE)</f>
        <v>0</v>
      </c>
      <c r="C36" s="7" t="s">
        <v>224</v>
      </c>
      <c r="D36"/>
      <c r="E36"/>
      <c r="F36"/>
      <c r="G36"/>
      <c r="H36"/>
      <c r="I36"/>
      <c r="J36"/>
      <c r="K36"/>
    </row>
    <row r="37" spans="1:11" ht="15">
      <c r="A37"/>
      <c r="B37"/>
      <c r="C37"/>
      <c r="D37"/>
      <c r="E37"/>
      <c r="F37"/>
      <c r="G37"/>
      <c r="H37"/>
      <c r="I37"/>
      <c r="J37"/>
      <c r="K37"/>
    </row>
    <row r="38" spans="1:11" ht="19.5">
      <c r="A38" s="1" t="s">
        <v>32</v>
      </c>
      <c r="B38"/>
      <c r="C38"/>
      <c r="D38"/>
      <c r="E38"/>
      <c r="F38"/>
      <c r="G38"/>
      <c r="H38"/>
      <c r="I38"/>
      <c r="J38"/>
      <c r="K38"/>
    </row>
    <row r="39" spans="1:11" ht="15">
      <c r="A39"/>
      <c r="B39"/>
      <c r="C39"/>
      <c r="D39"/>
      <c r="E39"/>
      <c r="F39"/>
      <c r="G39"/>
      <c r="H39"/>
      <c r="I39"/>
      <c r="J39"/>
      <c r="K39"/>
    </row>
    <row r="40" spans="1:11" ht="30">
      <c r="A40"/>
      <c r="B40" s="3" t="s">
        <v>33</v>
      </c>
      <c r="C40"/>
      <c r="D40"/>
      <c r="E40"/>
      <c r="F40"/>
      <c r="G40"/>
      <c r="H40"/>
      <c r="I40"/>
      <c r="J40"/>
      <c r="K40"/>
    </row>
    <row r="41" spans="1:11" ht="15">
      <c r="A41" s="8" t="s">
        <v>33</v>
      </c>
      <c r="B41" s="10">
        <f>VLOOKUP(Vlookup!B41,'CDCM Forecast Data'!$A$14:$I$271,5,FALSE)</f>
        <v>500</v>
      </c>
      <c r="C41" s="7" t="s">
        <v>224</v>
      </c>
      <c r="D41"/>
      <c r="E41"/>
      <c r="F41"/>
      <c r="G41"/>
      <c r="H41"/>
      <c r="I41"/>
      <c r="J41"/>
      <c r="K41"/>
    </row>
    <row r="42" spans="1:11" ht="15">
      <c r="A42"/>
      <c r="B42"/>
      <c r="C42"/>
      <c r="D42"/>
      <c r="E42"/>
      <c r="F42"/>
      <c r="G42"/>
      <c r="H42"/>
      <c r="I42"/>
      <c r="J42"/>
      <c r="K42"/>
    </row>
    <row r="43" spans="1:11" ht="19.5">
      <c r="A43" s="1" t="s">
        <v>34</v>
      </c>
      <c r="B43"/>
      <c r="C43"/>
      <c r="D43"/>
      <c r="E43"/>
      <c r="F43"/>
      <c r="G43"/>
      <c r="H43"/>
      <c r="I43"/>
      <c r="J43"/>
      <c r="K43"/>
    </row>
    <row r="44" spans="1:11" ht="15">
      <c r="A44"/>
      <c r="B44"/>
      <c r="C44"/>
      <c r="D44"/>
      <c r="E44"/>
      <c r="F44"/>
      <c r="G44"/>
      <c r="H44"/>
      <c r="I44"/>
      <c r="J44"/>
      <c r="K44"/>
    </row>
    <row r="45" spans="1:11" ht="15">
      <c r="A45"/>
      <c r="B45" s="3" t="s">
        <v>35</v>
      </c>
      <c r="C45"/>
      <c r="D45"/>
      <c r="E45"/>
      <c r="F45"/>
      <c r="G45"/>
      <c r="H45"/>
      <c r="I45"/>
      <c r="J45"/>
      <c r="K45"/>
    </row>
    <row r="46" spans="1:11" ht="15">
      <c r="A46" s="8" t="s">
        <v>23</v>
      </c>
      <c r="B46" s="10">
        <f>VLOOKUP(Vlookup!B46,'CDCM Forecast Data'!$A$14:$I$271,5,FALSE)</f>
        <v>118377610.44304734</v>
      </c>
      <c r="C46" s="7" t="s">
        <v>224</v>
      </c>
      <c r="D46"/>
      <c r="E46"/>
      <c r="F46"/>
      <c r="G46"/>
      <c r="H46"/>
      <c r="I46"/>
      <c r="J46"/>
      <c r="K46"/>
    </row>
    <row r="47" spans="1:11" ht="15">
      <c r="A47" s="8" t="s">
        <v>24</v>
      </c>
      <c r="B47" s="10">
        <f>VLOOKUP(Vlookup!B47,'CDCM Forecast Data'!$A$14:$I$271,5,FALSE)</f>
        <v>16766915.87257749</v>
      </c>
      <c r="C47" s="7" t="s">
        <v>224</v>
      </c>
      <c r="D47"/>
      <c r="E47"/>
      <c r="F47"/>
      <c r="G47"/>
      <c r="H47"/>
      <c r="I47"/>
      <c r="J47"/>
      <c r="K47"/>
    </row>
    <row r="48" spans="1:11" ht="15">
      <c r="A48" s="8" t="s">
        <v>25</v>
      </c>
      <c r="B48" s="10">
        <f>VLOOKUP(Vlookup!B48,'CDCM Forecast Data'!$A$14:$I$271,5,FALSE)</f>
        <v>42328028.391396843</v>
      </c>
      <c r="C48" s="7" t="s">
        <v>224</v>
      </c>
      <c r="D48"/>
      <c r="E48"/>
      <c r="F48"/>
      <c r="G48"/>
      <c r="H48"/>
      <c r="I48"/>
      <c r="J48"/>
      <c r="K48"/>
    </row>
    <row r="49" spans="1:11" ht="15">
      <c r="A49" s="8" t="s">
        <v>26</v>
      </c>
      <c r="B49" s="10">
        <f>VLOOKUP(Vlookup!B49,'CDCM Forecast Data'!$A$14:$I$271,5,FALSE)</f>
        <v>42541624.101212099</v>
      </c>
      <c r="C49" s="7" t="s">
        <v>224</v>
      </c>
      <c r="D49"/>
      <c r="E49"/>
      <c r="F49"/>
      <c r="G49"/>
      <c r="H49"/>
      <c r="I49"/>
      <c r="J49"/>
      <c r="K49"/>
    </row>
    <row r="50" spans="1:11" ht="15">
      <c r="A50" s="8" t="s">
        <v>31</v>
      </c>
      <c r="B50" s="10">
        <f>VLOOKUP(Vlookup!B50,'CDCM Forecast Data'!$A$14:$I$271,5,FALSE)</f>
        <v>0</v>
      </c>
      <c r="C50" s="7" t="s">
        <v>224</v>
      </c>
      <c r="D50"/>
      <c r="E50"/>
      <c r="F50"/>
      <c r="G50"/>
      <c r="H50"/>
      <c r="I50"/>
      <c r="J50"/>
      <c r="K50"/>
    </row>
    <row r="51" spans="1:11" ht="15">
      <c r="A51" s="8" t="s">
        <v>27</v>
      </c>
      <c r="B51" s="10">
        <f>VLOOKUP(Vlookup!B51,'CDCM Forecast Data'!$A$14:$I$271,5,FALSE)</f>
        <v>151508051.25381044</v>
      </c>
      <c r="C51" s="7" t="s">
        <v>224</v>
      </c>
      <c r="D51"/>
      <c r="E51"/>
      <c r="F51"/>
      <c r="G51"/>
      <c r="H51"/>
      <c r="I51"/>
      <c r="J51"/>
      <c r="K51"/>
    </row>
    <row r="52" spans="1:11" ht="15">
      <c r="A52" s="8" t="s">
        <v>28</v>
      </c>
      <c r="B52" s="10">
        <f>VLOOKUP(Vlookup!B52,'CDCM Forecast Data'!$A$14:$I$271,5,FALSE)</f>
        <v>64564069.568583287</v>
      </c>
      <c r="C52" s="7" t="s">
        <v>224</v>
      </c>
      <c r="D52"/>
      <c r="E52"/>
      <c r="F52"/>
      <c r="G52"/>
      <c r="H52"/>
      <c r="I52"/>
      <c r="J52"/>
      <c r="K52"/>
    </row>
    <row r="53" spans="1:11" ht="15">
      <c r="A53" s="8" t="s">
        <v>29</v>
      </c>
      <c r="B53" s="10">
        <f>VLOOKUP(Vlookup!B53,'CDCM Forecast Data'!$A$14:$I$271,5,FALSE)</f>
        <v>138666573.66357902</v>
      </c>
      <c r="C53" s="7" t="s">
        <v>224</v>
      </c>
      <c r="D53"/>
      <c r="E53"/>
      <c r="F53"/>
      <c r="G53"/>
      <c r="H53"/>
      <c r="I53"/>
      <c r="J53"/>
      <c r="K53"/>
    </row>
    <row r="54" spans="1:11" ht="15">
      <c r="A54"/>
      <c r="B54"/>
      <c r="C54"/>
      <c r="D54"/>
      <c r="E54"/>
      <c r="F54"/>
      <c r="G54"/>
      <c r="H54"/>
      <c r="I54"/>
      <c r="J54"/>
      <c r="K54"/>
    </row>
    <row r="55" spans="1:11" ht="19.5">
      <c r="A55" s="1" t="s">
        <v>36</v>
      </c>
      <c r="B55"/>
      <c r="C55"/>
      <c r="D55"/>
      <c r="E55"/>
      <c r="F55"/>
      <c r="G55"/>
      <c r="H55"/>
      <c r="I55"/>
      <c r="J55"/>
      <c r="K55"/>
    </row>
    <row r="56" spans="1:11" ht="15">
      <c r="A56"/>
      <c r="B56"/>
      <c r="C56"/>
      <c r="D56"/>
      <c r="E56"/>
      <c r="F56"/>
      <c r="G56"/>
      <c r="H56"/>
      <c r="I56"/>
      <c r="J56"/>
      <c r="K56"/>
    </row>
    <row r="57" spans="1:11" ht="15">
      <c r="A57"/>
      <c r="B57" s="3" t="s">
        <v>37</v>
      </c>
      <c r="C57" s="3" t="s">
        <v>38</v>
      </c>
      <c r="D57" s="3" t="s">
        <v>39</v>
      </c>
      <c r="E57" s="3" t="s">
        <v>40</v>
      </c>
      <c r="F57" s="3" t="s">
        <v>41</v>
      </c>
      <c r="G57" s="3" t="s">
        <v>42</v>
      </c>
      <c r="H57" s="3" t="s">
        <v>43</v>
      </c>
      <c r="I57" s="3" t="s">
        <v>44</v>
      </c>
      <c r="J57"/>
      <c r="K57"/>
    </row>
    <row r="58" spans="1:11" ht="15">
      <c r="A58" s="8" t="s">
        <v>45</v>
      </c>
      <c r="B58" s="10">
        <f>VLOOKUP(Vlookup!B58,'CDCM Forecast Data'!$A$14:$I$271,5,FALSE)</f>
        <v>5423.9723519423051</v>
      </c>
      <c r="C58" s="10">
        <f>VLOOKUP(Vlookup!C58,'CDCM Forecast Data'!$A$14:$I$271,5,FALSE)</f>
        <v>610.14266130955389</v>
      </c>
      <c r="D58" s="10">
        <f>VLOOKUP(Vlookup!D58,'CDCM Forecast Data'!$A$14:$I$271,5,FALSE)</f>
        <v>742.84434320148489</v>
      </c>
      <c r="E58" s="10">
        <f>VLOOKUP(Vlookup!E58,'CDCM Forecast Data'!$A$14:$I$271,5,FALSE)</f>
        <v>550.90819761022499</v>
      </c>
      <c r="F58" s="10">
        <f>VLOOKUP(Vlookup!F58,'CDCM Forecast Data'!$A$14:$I$271,5,FALSE)</f>
        <v>1252.3369338612372</v>
      </c>
      <c r="G58" s="10">
        <f>VLOOKUP(Vlookup!G58,'CDCM Forecast Data'!$A$14:$I$271,5,FALSE)</f>
        <v>964.56629887981148</v>
      </c>
      <c r="H58" s="10">
        <f>VLOOKUP(Vlookup!H58,'CDCM Forecast Data'!$A$14:$I$271,5,FALSE)</f>
        <v>0</v>
      </c>
      <c r="I58" s="10">
        <f>VLOOKUP(Vlookup!I58,'CDCM Forecast Data'!$A$14:$I$271,5,FALSE)</f>
        <v>504.47380181205011</v>
      </c>
      <c r="J58" s="7" t="s">
        <v>224</v>
      </c>
      <c r="K58"/>
    </row>
    <row r="59" spans="1:11" ht="15">
      <c r="A59"/>
      <c r="B59"/>
      <c r="C59"/>
      <c r="D59"/>
      <c r="E59"/>
      <c r="F59"/>
      <c r="G59"/>
      <c r="H59"/>
      <c r="I59"/>
      <c r="J59"/>
      <c r="K59"/>
    </row>
    <row r="60" spans="1:11" ht="19.5">
      <c r="A60" s="1" t="s">
        <v>46</v>
      </c>
      <c r="B60"/>
      <c r="C60"/>
      <c r="D60"/>
      <c r="E60"/>
      <c r="F60"/>
      <c r="G60"/>
      <c r="H60"/>
      <c r="I60"/>
      <c r="J60"/>
      <c r="K60"/>
    </row>
    <row r="61" spans="1:11" ht="15">
      <c r="A61"/>
      <c r="B61"/>
      <c r="C61"/>
      <c r="D61"/>
      <c r="E61"/>
      <c r="F61"/>
      <c r="G61"/>
      <c r="H61"/>
      <c r="I61"/>
      <c r="J61"/>
      <c r="K61"/>
    </row>
    <row r="62" spans="1:11" ht="15">
      <c r="A62"/>
      <c r="B62" s="3" t="s">
        <v>47</v>
      </c>
      <c r="C62" s="3" t="s">
        <v>48</v>
      </c>
      <c r="D62" s="3" t="s">
        <v>49</v>
      </c>
      <c r="E62" s="3" t="s">
        <v>50</v>
      </c>
      <c r="F62" s="3" t="s">
        <v>51</v>
      </c>
      <c r="G62"/>
      <c r="H62"/>
      <c r="I62"/>
      <c r="J62"/>
      <c r="K62"/>
    </row>
    <row r="63" spans="1:11" ht="15">
      <c r="A63" s="8" t="s">
        <v>52</v>
      </c>
      <c r="B63" s="10">
        <f>VLOOKUP(Vlookup!B63,'CDCM Forecast Data'!$A$14:$I$271,5,FALSE)</f>
        <v>9569.6169347396935</v>
      </c>
      <c r="C63" s="10">
        <f>VLOOKUP(Vlookup!C63,'CDCM Forecast Data'!$A$14:$I$271,5,FALSE)</f>
        <v>4613.8355966640001</v>
      </c>
      <c r="D63" s="10">
        <f>VLOOKUP(Vlookup!D63,'CDCM Forecast Data'!$A$14:$I$271,5,FALSE)</f>
        <v>0</v>
      </c>
      <c r="E63" s="10">
        <f>VLOOKUP(Vlookup!E63,'CDCM Forecast Data'!$A$14:$I$271,5,FALSE)</f>
        <v>0</v>
      </c>
      <c r="F63" s="10">
        <f>VLOOKUP(Vlookup!F63,'CDCM Forecast Data'!$A$14:$I$271,5,FALSE)</f>
        <v>0</v>
      </c>
      <c r="G63" s="7" t="s">
        <v>224</v>
      </c>
      <c r="H63"/>
      <c r="I63"/>
      <c r="J63"/>
      <c r="K63"/>
    </row>
    <row r="64" spans="1:11" ht="15">
      <c r="A64"/>
      <c r="B64"/>
      <c r="C64"/>
      <c r="D64"/>
      <c r="E64"/>
      <c r="F64"/>
      <c r="G64"/>
      <c r="H64"/>
      <c r="I64"/>
      <c r="J64"/>
      <c r="K64"/>
    </row>
    <row r="65" spans="1:11" ht="19.5">
      <c r="A65" s="1" t="s">
        <v>53</v>
      </c>
      <c r="B65"/>
      <c r="C65"/>
      <c r="D65"/>
      <c r="E65"/>
      <c r="F65"/>
      <c r="G65"/>
      <c r="H65"/>
      <c r="I65"/>
      <c r="J65"/>
      <c r="K65"/>
    </row>
    <row r="66" spans="1:11" ht="15">
      <c r="A66"/>
      <c r="B66">
        <v>2</v>
      </c>
      <c r="C66">
        <f t="shared" ref="C66:I66" si="0">B66+1</f>
        <v>3</v>
      </c>
      <c r="D66">
        <f t="shared" si="0"/>
        <v>4</v>
      </c>
      <c r="E66">
        <f t="shared" si="0"/>
        <v>5</v>
      </c>
      <c r="F66">
        <f t="shared" si="0"/>
        <v>6</v>
      </c>
      <c r="G66">
        <f t="shared" si="0"/>
        <v>7</v>
      </c>
      <c r="H66">
        <f t="shared" si="0"/>
        <v>8</v>
      </c>
      <c r="I66">
        <f t="shared" si="0"/>
        <v>9</v>
      </c>
      <c r="J66"/>
      <c r="K66"/>
    </row>
    <row r="67" spans="1:11" ht="15">
      <c r="A67"/>
      <c r="B67" s="3" t="s">
        <v>37</v>
      </c>
      <c r="C67" s="3" t="s">
        <v>38</v>
      </c>
      <c r="D67" s="3" t="s">
        <v>39</v>
      </c>
      <c r="E67" s="3" t="s">
        <v>40</v>
      </c>
      <c r="F67" s="3" t="s">
        <v>41</v>
      </c>
      <c r="G67" s="3" t="s">
        <v>42</v>
      </c>
      <c r="H67" s="3" t="s">
        <v>43</v>
      </c>
      <c r="I67" s="3" t="s">
        <v>44</v>
      </c>
      <c r="J67"/>
      <c r="K67"/>
    </row>
    <row r="68" spans="1:11" ht="15">
      <c r="A68" s="8" t="s">
        <v>54</v>
      </c>
      <c r="B68" s="11">
        <f>VLOOKUP($A68,'Mat of App'!$B$7:$AP$43,B$66,FALSE)</f>
        <v>0.05</v>
      </c>
      <c r="C68" s="11">
        <f>VLOOKUP($A68,'Mat of App'!$B$7:$AP$43,C$66,FALSE)</f>
        <v>0</v>
      </c>
      <c r="D68" s="11">
        <f>VLOOKUP($A68,'Mat of App'!$B$7:$AP$43,D$66,FALSE)</f>
        <v>0</v>
      </c>
      <c r="E68" s="11">
        <f>VLOOKUP($A68,'Mat of App'!$B$7:$AP$43,E$66,FALSE)</f>
        <v>0</v>
      </c>
      <c r="F68" s="11">
        <f>VLOOKUP($A68,'Mat of App'!$B$7:$AP$43,F$66,FALSE)</f>
        <v>0</v>
      </c>
      <c r="G68" s="11">
        <f>VLOOKUP($A68,'Mat of App'!$B$7:$AP$43,G$66,FALSE)</f>
        <v>0</v>
      </c>
      <c r="H68" s="11">
        <f>VLOOKUP($A68,'Mat of App'!$B$7:$AP$43,H$66,FALSE)</f>
        <v>0</v>
      </c>
      <c r="I68" s="11">
        <f>VLOOKUP($A68,'Mat of App'!$B$7:$AP$43,I$66,FALSE)</f>
        <v>0</v>
      </c>
      <c r="J68" s="7" t="s">
        <v>224</v>
      </c>
      <c r="K68"/>
    </row>
    <row r="69" spans="1:11" ht="15">
      <c r="A69" s="8" t="s">
        <v>55</v>
      </c>
      <c r="B69" s="11">
        <f>VLOOKUP($A69,'Mat of App'!$B$7:$AP$43,B$66,FALSE)</f>
        <v>0.05</v>
      </c>
      <c r="C69" s="11">
        <f>VLOOKUP($A69,'Mat of App'!$B$7:$AP$43,C$66,FALSE)</f>
        <v>0</v>
      </c>
      <c r="D69" s="11">
        <f>VLOOKUP($A69,'Mat of App'!$B$7:$AP$43,D$66,FALSE)</f>
        <v>0</v>
      </c>
      <c r="E69" s="11">
        <f>VLOOKUP($A69,'Mat of App'!$B$7:$AP$43,E$66,FALSE)</f>
        <v>0</v>
      </c>
      <c r="F69" s="11">
        <f>VLOOKUP($A69,'Mat of App'!$B$7:$AP$43,F$66,FALSE)</f>
        <v>0</v>
      </c>
      <c r="G69" s="11">
        <f>VLOOKUP($A69,'Mat of App'!$B$7:$AP$43,G$66,FALSE)</f>
        <v>0</v>
      </c>
      <c r="H69" s="11">
        <f>VLOOKUP($A69,'Mat of App'!$B$7:$AP$43,H$66,FALSE)</f>
        <v>0</v>
      </c>
      <c r="I69" s="11">
        <f>VLOOKUP($A69,'Mat of App'!$B$7:$AP$43,I$66,FALSE)</f>
        <v>0</v>
      </c>
      <c r="J69" s="7" t="s">
        <v>224</v>
      </c>
      <c r="K69"/>
    </row>
    <row r="70" spans="1:11" ht="15">
      <c r="A70" s="8" t="s">
        <v>56</v>
      </c>
      <c r="B70" s="11">
        <f>VLOOKUP($A70,'Mat of App'!$B$7:$AP$43,B$66,FALSE)</f>
        <v>0</v>
      </c>
      <c r="C70" s="11">
        <f>VLOOKUP($A70,'Mat of App'!$B$7:$AP$43,C$66,FALSE)</f>
        <v>1</v>
      </c>
      <c r="D70" s="11">
        <f>VLOOKUP($A70,'Mat of App'!$B$7:$AP$43,D$66,FALSE)</f>
        <v>0</v>
      </c>
      <c r="E70" s="11">
        <f>VLOOKUP($A70,'Mat of App'!$B$7:$AP$43,E$66,FALSE)</f>
        <v>0</v>
      </c>
      <c r="F70" s="11">
        <f>VLOOKUP($A70,'Mat of App'!$B$7:$AP$43,F$66,FALSE)</f>
        <v>0</v>
      </c>
      <c r="G70" s="11">
        <f>VLOOKUP($A70,'Mat of App'!$B$7:$AP$43,G$66,FALSE)</f>
        <v>0</v>
      </c>
      <c r="H70" s="11">
        <f>VLOOKUP($A70,'Mat of App'!$B$7:$AP$43,H$66,FALSE)</f>
        <v>0</v>
      </c>
      <c r="I70" s="11">
        <f>VLOOKUP($A70,'Mat of App'!$B$7:$AP$43,I$66,FALSE)</f>
        <v>0</v>
      </c>
      <c r="J70" s="7" t="s">
        <v>224</v>
      </c>
      <c r="K70"/>
    </row>
    <row r="71" spans="1:11" ht="15">
      <c r="A71" s="8" t="s">
        <v>57</v>
      </c>
      <c r="B71" s="11">
        <f>VLOOKUP($A71,'Mat of App'!$B$7:$AP$43,B$66,FALSE)</f>
        <v>0</v>
      </c>
      <c r="C71" s="11">
        <f>VLOOKUP($A71,'Mat of App'!$B$7:$AP$43,C$66,FALSE)</f>
        <v>1</v>
      </c>
      <c r="D71" s="11">
        <f>VLOOKUP($A71,'Mat of App'!$B$7:$AP$43,D$66,FALSE)</f>
        <v>0</v>
      </c>
      <c r="E71" s="11">
        <f>VLOOKUP($A71,'Mat of App'!$B$7:$AP$43,E$66,FALSE)</f>
        <v>0</v>
      </c>
      <c r="F71" s="11">
        <f>VLOOKUP($A71,'Mat of App'!$B$7:$AP$43,F$66,FALSE)</f>
        <v>0</v>
      </c>
      <c r="G71" s="11">
        <f>VLOOKUP($A71,'Mat of App'!$B$7:$AP$43,G$66,FALSE)</f>
        <v>0</v>
      </c>
      <c r="H71" s="11">
        <f>VLOOKUP($A71,'Mat of App'!$B$7:$AP$43,H$66,FALSE)</f>
        <v>0</v>
      </c>
      <c r="I71" s="11">
        <f>VLOOKUP($A71,'Mat of App'!$B$7:$AP$43,I$66,FALSE)</f>
        <v>0</v>
      </c>
      <c r="J71" s="7" t="s">
        <v>224</v>
      </c>
      <c r="K71"/>
    </row>
    <row r="72" spans="1:11" ht="15">
      <c r="A72" s="8" t="s">
        <v>58</v>
      </c>
      <c r="B72" s="11">
        <f>VLOOKUP($A72,'Mat of App'!$B$7:$AP$43,B$66,FALSE)</f>
        <v>0</v>
      </c>
      <c r="C72" s="11">
        <f>VLOOKUP($A72,'Mat of App'!$B$7:$AP$43,C$66,FALSE)</f>
        <v>0</v>
      </c>
      <c r="D72" s="11">
        <f>VLOOKUP($A72,'Mat of App'!$B$7:$AP$43,D$66,FALSE)</f>
        <v>1</v>
      </c>
      <c r="E72" s="11">
        <f>VLOOKUP($A72,'Mat of App'!$B$7:$AP$43,E$66,FALSE)</f>
        <v>0</v>
      </c>
      <c r="F72" s="11">
        <f>VLOOKUP($A72,'Mat of App'!$B$7:$AP$43,F$66,FALSE)</f>
        <v>0</v>
      </c>
      <c r="G72" s="11">
        <f>VLOOKUP($A72,'Mat of App'!$B$7:$AP$43,G$66,FALSE)</f>
        <v>0</v>
      </c>
      <c r="H72" s="11">
        <f>VLOOKUP($A72,'Mat of App'!$B$7:$AP$43,H$66,FALSE)</f>
        <v>0</v>
      </c>
      <c r="I72" s="11">
        <f>VLOOKUP($A72,'Mat of App'!$B$7:$AP$43,I$66,FALSE)</f>
        <v>0</v>
      </c>
      <c r="J72" s="7"/>
      <c r="K72"/>
    </row>
    <row r="73" spans="1:11" ht="15">
      <c r="A73" s="8" t="s">
        <v>59</v>
      </c>
      <c r="B73" s="11">
        <f>VLOOKUP($A73,'Mat of App'!$B$7:$AP$43,B$66,FALSE)</f>
        <v>0</v>
      </c>
      <c r="C73" s="11">
        <f>VLOOKUP($A73,'Mat of App'!$B$7:$AP$43,C$66,FALSE)</f>
        <v>0</v>
      </c>
      <c r="D73" s="11">
        <f>VLOOKUP($A73,'Mat of App'!$B$7:$AP$43,D$66,FALSE)</f>
        <v>0</v>
      </c>
      <c r="E73" s="11">
        <f>VLOOKUP($A73,'Mat of App'!$B$7:$AP$43,E$66,FALSE)</f>
        <v>1</v>
      </c>
      <c r="F73" s="11">
        <f>VLOOKUP($A73,'Mat of App'!$B$7:$AP$43,F$66,FALSE)</f>
        <v>0</v>
      </c>
      <c r="G73" s="11">
        <f>VLOOKUP($A73,'Mat of App'!$B$7:$AP$43,G$66,FALSE)</f>
        <v>0</v>
      </c>
      <c r="H73" s="11">
        <f>VLOOKUP($A73,'Mat of App'!$B$7:$AP$43,H$66,FALSE)</f>
        <v>0</v>
      </c>
      <c r="I73" s="11">
        <f>VLOOKUP($A73,'Mat of App'!$B$7:$AP$43,I$66,FALSE)</f>
        <v>0</v>
      </c>
      <c r="J73" s="7"/>
      <c r="K73"/>
    </row>
    <row r="74" spans="1:11" ht="15">
      <c r="A74" s="8" t="s">
        <v>1178</v>
      </c>
      <c r="B74" s="11">
        <f>VLOOKUP($A74,'Mat of App'!$B$7:$AP$43,B$66,FALSE)</f>
        <v>0.05</v>
      </c>
      <c r="C74" s="11">
        <f>VLOOKUP($A74,'Mat of App'!$B$7:$AP$43,C$66,FALSE)</f>
        <v>0</v>
      </c>
      <c r="D74" s="11">
        <f>VLOOKUP($A74,'Mat of App'!$B$7:$AP$43,D$66,FALSE)</f>
        <v>0</v>
      </c>
      <c r="E74" s="11">
        <f>VLOOKUP($A74,'Mat of App'!$B$7:$AP$43,E$66,FALSE)</f>
        <v>0</v>
      </c>
      <c r="F74" s="11">
        <f>VLOOKUP($A74,'Mat of App'!$B$7:$AP$43,F$66,FALSE)</f>
        <v>0</v>
      </c>
      <c r="G74" s="11">
        <f>VLOOKUP($A74,'Mat of App'!$B$7:$AP$43,G$66,FALSE)</f>
        <v>0</v>
      </c>
      <c r="H74" s="11">
        <f>VLOOKUP($A74,'Mat of App'!$B$7:$AP$43,H$66,FALSE)</f>
        <v>0</v>
      </c>
      <c r="I74" s="11">
        <f>VLOOKUP($A74,'Mat of App'!$B$7:$AP$43,I$66,FALSE)</f>
        <v>0</v>
      </c>
      <c r="J74" s="7" t="s">
        <v>224</v>
      </c>
      <c r="K74"/>
    </row>
    <row r="75" spans="1:11" ht="15">
      <c r="A75" s="8" t="s">
        <v>1177</v>
      </c>
      <c r="B75" s="11">
        <f>VLOOKUP($A75,'Mat of App'!$B$7:$AP$43,B$66,FALSE)</f>
        <v>0</v>
      </c>
      <c r="C75" s="11">
        <f>VLOOKUP($A75,'Mat of App'!$B$7:$AP$43,C$66,FALSE)</f>
        <v>1</v>
      </c>
      <c r="D75" s="11">
        <f>VLOOKUP($A75,'Mat of App'!$B$7:$AP$43,D$66,FALSE)</f>
        <v>0</v>
      </c>
      <c r="E75" s="11">
        <f>VLOOKUP($A75,'Mat of App'!$B$7:$AP$43,E$66,FALSE)</f>
        <v>0</v>
      </c>
      <c r="F75" s="11">
        <f>VLOOKUP($A75,'Mat of App'!$B$7:$AP$43,F$66,FALSE)</f>
        <v>0</v>
      </c>
      <c r="G75" s="11">
        <f>VLOOKUP($A75,'Mat of App'!$B$7:$AP$43,G$66,FALSE)</f>
        <v>0</v>
      </c>
      <c r="H75" s="11">
        <f>VLOOKUP($A75,'Mat of App'!$B$7:$AP$43,H$66,FALSE)</f>
        <v>0</v>
      </c>
      <c r="I75" s="11">
        <f>VLOOKUP($A75,'Mat of App'!$B$7:$AP$43,I$66,FALSE)</f>
        <v>0</v>
      </c>
      <c r="J75" s="7" t="s">
        <v>224</v>
      </c>
      <c r="K75"/>
    </row>
    <row r="76" spans="1:11" ht="15">
      <c r="A76" s="8" t="s">
        <v>60</v>
      </c>
      <c r="B76" s="11">
        <f>VLOOKUP($A76,'Mat of App'!$B$7:$AP$43,B$66,FALSE)</f>
        <v>0</v>
      </c>
      <c r="C76" s="11">
        <f>VLOOKUP($A76,'Mat of App'!$B$7:$AP$43,C$66,FALSE)</f>
        <v>0</v>
      </c>
      <c r="D76" s="11">
        <f>VLOOKUP($A76,'Mat of App'!$B$7:$AP$43,D$66,FALSE)</f>
        <v>0</v>
      </c>
      <c r="E76" s="11">
        <f>VLOOKUP($A76,'Mat of App'!$B$7:$AP$43,E$66,FALSE)</f>
        <v>0</v>
      </c>
      <c r="F76" s="11">
        <f>VLOOKUP($A76,'Mat of App'!$B$7:$AP$43,F$66,FALSE)</f>
        <v>1</v>
      </c>
      <c r="G76" s="11">
        <f>VLOOKUP($A76,'Mat of App'!$B$7:$AP$43,G$66,FALSE)</f>
        <v>0</v>
      </c>
      <c r="H76" s="11">
        <f>VLOOKUP($A76,'Mat of App'!$B$7:$AP$43,H$66,FALSE)</f>
        <v>0</v>
      </c>
      <c r="I76" s="11">
        <f>VLOOKUP($A76,'Mat of App'!$B$7:$AP$43,I$66,FALSE)</f>
        <v>0</v>
      </c>
      <c r="J76" s="7" t="s">
        <v>224</v>
      </c>
      <c r="K76"/>
    </row>
    <row r="77" spans="1:11" ht="15">
      <c r="A77" s="8" t="s">
        <v>61</v>
      </c>
      <c r="B77" s="11">
        <f>VLOOKUP($A77,'Mat of App'!$B$7:$AP$43,B$66,FALSE)</f>
        <v>0</v>
      </c>
      <c r="C77" s="11">
        <f>VLOOKUP($A77,'Mat of App'!$B$7:$AP$43,C$66,FALSE)</f>
        <v>0</v>
      </c>
      <c r="D77" s="11">
        <f>VLOOKUP($A77,'Mat of App'!$B$7:$AP$43,D$66,FALSE)</f>
        <v>0</v>
      </c>
      <c r="E77" s="11">
        <f>VLOOKUP($A77,'Mat of App'!$B$7:$AP$43,E$66,FALSE)</f>
        <v>0</v>
      </c>
      <c r="F77" s="11">
        <f>VLOOKUP($A77,'Mat of App'!$B$7:$AP$43,F$66,FALSE)</f>
        <v>0</v>
      </c>
      <c r="G77" s="11">
        <f>VLOOKUP($A77,'Mat of App'!$B$7:$AP$43,G$66,FALSE)</f>
        <v>1</v>
      </c>
      <c r="H77" s="11">
        <f>VLOOKUP($A77,'Mat of App'!$B$7:$AP$43,H$66,FALSE)</f>
        <v>0</v>
      </c>
      <c r="I77" s="11">
        <f>VLOOKUP($A77,'Mat of App'!$B$7:$AP$43,I$66,FALSE)</f>
        <v>0</v>
      </c>
      <c r="J77" s="7" t="s">
        <v>224</v>
      </c>
      <c r="K77"/>
    </row>
    <row r="78" spans="1:11" ht="15">
      <c r="A78" s="285" t="s">
        <v>1176</v>
      </c>
      <c r="B78" s="11">
        <f>VLOOKUP($A78,'Mat of App'!$B$7:$AP$43,B$66,FALSE)</f>
        <v>0</v>
      </c>
      <c r="C78" s="11">
        <f>VLOOKUP($A78,'Mat of App'!$B$7:$AP$43,C$66,FALSE)</f>
        <v>0</v>
      </c>
      <c r="D78" s="11">
        <f>VLOOKUP($A78,'Mat of App'!$B$7:$AP$43,D$66,FALSE)</f>
        <v>0</v>
      </c>
      <c r="E78" s="11">
        <f>VLOOKUP($A78,'Mat of App'!$B$7:$AP$43,E$66,FALSE)</f>
        <v>0</v>
      </c>
      <c r="F78" s="11">
        <f>VLOOKUP($A78,'Mat of App'!$B$7:$AP$43,F$66,FALSE)</f>
        <v>0</v>
      </c>
      <c r="G78" s="11">
        <f>VLOOKUP($A78,'Mat of App'!$B$7:$AP$43,G$66,FALSE)</f>
        <v>0</v>
      </c>
      <c r="H78" s="11">
        <f>VLOOKUP($A78,'Mat of App'!$B$7:$AP$43,H$66,FALSE)</f>
        <v>1</v>
      </c>
      <c r="I78" s="11">
        <f>VLOOKUP($A78,'Mat of App'!$B$7:$AP$43,I$66,FALSE)</f>
        <v>0</v>
      </c>
      <c r="J78" s="7" t="s">
        <v>224</v>
      </c>
      <c r="K78"/>
    </row>
    <row r="79" spans="1:11" ht="15">
      <c r="A79" s="285" t="s">
        <v>62</v>
      </c>
      <c r="B79" s="11">
        <f>VLOOKUP($A79,'Mat of App'!$B$7:$AP$43,B$66,FALSE)</f>
        <v>0</v>
      </c>
      <c r="C79" s="11">
        <f>VLOOKUP($A79,'Mat of App'!$B$7:$AP$43,C$66,FALSE)</f>
        <v>0</v>
      </c>
      <c r="D79" s="11">
        <f>VLOOKUP($A79,'Mat of App'!$B$7:$AP$43,D$66,FALSE)</f>
        <v>0</v>
      </c>
      <c r="E79" s="11">
        <f>VLOOKUP($A79,'Mat of App'!$B$7:$AP$43,E$66,FALSE)</f>
        <v>0</v>
      </c>
      <c r="F79" s="11">
        <f>VLOOKUP($A79,'Mat of App'!$B$7:$AP$43,F$66,FALSE)</f>
        <v>0</v>
      </c>
      <c r="G79" s="11">
        <f>VLOOKUP($A79,'Mat of App'!$B$7:$AP$43,G$66,FALSE)</f>
        <v>0</v>
      </c>
      <c r="H79" s="11">
        <f>VLOOKUP($A79,'Mat of App'!$B$7:$AP$43,H$66,FALSE)</f>
        <v>1</v>
      </c>
      <c r="I79" s="11">
        <f>VLOOKUP($A79,'Mat of App'!$B$7:$AP$43,I$66,FALSE)</f>
        <v>0</v>
      </c>
      <c r="J79" s="7" t="s">
        <v>224</v>
      </c>
      <c r="K79"/>
    </row>
    <row r="80" spans="1:11" ht="15">
      <c r="A80" s="285" t="s">
        <v>63</v>
      </c>
      <c r="B80" s="11">
        <f>VLOOKUP($A80,'Mat of App'!$B$7:$AP$43,B$66,FALSE)</f>
        <v>0</v>
      </c>
      <c r="C80" s="11">
        <f>VLOOKUP($A80,'Mat of App'!$B$7:$AP$43,C$66,FALSE)</f>
        <v>0</v>
      </c>
      <c r="D80" s="11">
        <f>VLOOKUP($A80,'Mat of App'!$B$7:$AP$43,D$66,FALSE)</f>
        <v>0</v>
      </c>
      <c r="E80" s="11">
        <f>VLOOKUP($A80,'Mat of App'!$B$7:$AP$43,E$66,FALSE)</f>
        <v>0</v>
      </c>
      <c r="F80" s="11">
        <f>VLOOKUP($A80,'Mat of App'!$B$7:$AP$43,F$66,FALSE)</f>
        <v>0</v>
      </c>
      <c r="G80" s="11">
        <f>VLOOKUP($A80,'Mat of App'!$B$7:$AP$43,G$66,FALSE)</f>
        <v>0</v>
      </c>
      <c r="H80" s="11">
        <f>VLOOKUP($A80,'Mat of App'!$B$7:$AP$43,H$66,FALSE)</f>
        <v>1</v>
      </c>
      <c r="I80" s="11">
        <f>VLOOKUP($A80,'Mat of App'!$B$7:$AP$43,I$66,FALSE)</f>
        <v>0</v>
      </c>
      <c r="J80" s="7" t="s">
        <v>224</v>
      </c>
      <c r="K80"/>
    </row>
    <row r="81" spans="1:11" ht="15">
      <c r="A81" s="285" t="s">
        <v>1516</v>
      </c>
      <c r="B81" s="11">
        <f>VLOOKUP($A81,'Mat of App'!$B$7:$AP$43,B$66,FALSE)</f>
        <v>0</v>
      </c>
      <c r="C81" s="11">
        <f>VLOOKUP($A81,'Mat of App'!$B$7:$AP$43,C$66,FALSE)</f>
        <v>0</v>
      </c>
      <c r="D81" s="11">
        <f>VLOOKUP($A81,'Mat of App'!$B$7:$AP$43,D$66,FALSE)</f>
        <v>0</v>
      </c>
      <c r="E81" s="11">
        <f>VLOOKUP($A81,'Mat of App'!$B$7:$AP$43,E$66,FALSE)</f>
        <v>0</v>
      </c>
      <c r="F81" s="11">
        <f>VLOOKUP($A81,'Mat of App'!$B$7:$AP$43,F$66,FALSE)</f>
        <v>0</v>
      </c>
      <c r="G81" s="11">
        <f>VLOOKUP($A81,'Mat of App'!$B$7:$AP$43,G$66,FALSE)</f>
        <v>0</v>
      </c>
      <c r="H81" s="11">
        <f>VLOOKUP($A81,'Mat of App'!$B$7:$AP$43,H$66,FALSE)</f>
        <v>1</v>
      </c>
      <c r="I81" s="11">
        <f>VLOOKUP($A81,'Mat of App'!$B$7:$AP$43,I$66,FALSE)</f>
        <v>0</v>
      </c>
      <c r="J81" s="7" t="s">
        <v>224</v>
      </c>
      <c r="K81"/>
    </row>
    <row r="82" spans="1:11" ht="15">
      <c r="A82" s="285" t="s">
        <v>64</v>
      </c>
      <c r="B82" s="11">
        <f>VLOOKUP($A82,'Mat of App'!$B$7:$AP$43,B$66,FALSE)</f>
        <v>0</v>
      </c>
      <c r="C82" s="11">
        <f>VLOOKUP($A82,'Mat of App'!$B$7:$AP$43,C$66,FALSE)</f>
        <v>0</v>
      </c>
      <c r="D82" s="11">
        <f>VLOOKUP($A82,'Mat of App'!$B$7:$AP$43,D$66,FALSE)</f>
        <v>0</v>
      </c>
      <c r="E82" s="11">
        <f>VLOOKUP($A82,'Mat of App'!$B$7:$AP$43,E$66,FALSE)</f>
        <v>0</v>
      </c>
      <c r="F82" s="11">
        <f>VLOOKUP($A82,'Mat of App'!$B$7:$AP$43,F$66,FALSE)</f>
        <v>0</v>
      </c>
      <c r="G82" s="11">
        <f>VLOOKUP($A82,'Mat of App'!$B$7:$AP$43,G$66,FALSE)</f>
        <v>0</v>
      </c>
      <c r="H82" s="11">
        <f>VLOOKUP($A82,'Mat of App'!$B$7:$AP$43,H$66,FALSE)</f>
        <v>0</v>
      </c>
      <c r="I82" s="11">
        <f>VLOOKUP($A82,'Mat of App'!$B$7:$AP$43,I$66,FALSE)</f>
        <v>0</v>
      </c>
      <c r="J82" s="7" t="s">
        <v>224</v>
      </c>
      <c r="K82"/>
    </row>
    <row r="83" spans="1:11" ht="15">
      <c r="A83" s="285" t="s">
        <v>1517</v>
      </c>
      <c r="B83" s="11">
        <f>VLOOKUP($A83,'Mat of App'!$B$7:$AP$43,B$66,FALSE)</f>
        <v>0</v>
      </c>
      <c r="C83" s="11">
        <f>VLOOKUP($A83,'Mat of App'!$B$7:$AP$43,C$66,FALSE)</f>
        <v>0</v>
      </c>
      <c r="D83" s="11">
        <f>VLOOKUP($A83,'Mat of App'!$B$7:$AP$43,D$66,FALSE)</f>
        <v>0</v>
      </c>
      <c r="E83" s="11">
        <f>VLOOKUP($A83,'Mat of App'!$B$7:$AP$43,E$66,FALSE)</f>
        <v>0</v>
      </c>
      <c r="F83" s="11">
        <f>VLOOKUP($A83,'Mat of App'!$B$7:$AP$43,F$66,FALSE)</f>
        <v>0</v>
      </c>
      <c r="G83" s="11">
        <f>VLOOKUP($A83,'Mat of App'!$B$7:$AP$43,G$66,FALSE)</f>
        <v>0</v>
      </c>
      <c r="H83" s="11">
        <f>VLOOKUP($A83,'Mat of App'!$B$7:$AP$43,H$66,FALSE)</f>
        <v>0</v>
      </c>
      <c r="I83" s="11">
        <f>VLOOKUP($A83,'Mat of App'!$B$7:$AP$43,I$66,FALSE)</f>
        <v>0</v>
      </c>
      <c r="J83" s="7"/>
      <c r="K83"/>
    </row>
    <row r="84" spans="1:11" ht="15">
      <c r="A84" s="285" t="s">
        <v>65</v>
      </c>
      <c r="B84" s="11">
        <f>VLOOKUP($A84,'Mat of App'!$B$7:$AP$43,B$66,FALSE)</f>
        <v>0</v>
      </c>
      <c r="C84" s="11">
        <f>VLOOKUP($A84,'Mat of App'!$B$7:$AP$43,C$66,FALSE)</f>
        <v>0</v>
      </c>
      <c r="D84" s="11">
        <f>VLOOKUP($A84,'Mat of App'!$B$7:$AP$43,D$66,FALSE)</f>
        <v>0</v>
      </c>
      <c r="E84" s="11">
        <f>VLOOKUP($A84,'Mat of App'!$B$7:$AP$43,E$66,FALSE)</f>
        <v>0</v>
      </c>
      <c r="F84" s="11">
        <f>VLOOKUP($A84,'Mat of App'!$B$7:$AP$43,F$66,FALSE)</f>
        <v>0</v>
      </c>
      <c r="G84" s="11">
        <f>VLOOKUP($A84,'Mat of App'!$B$7:$AP$43,G$66,FALSE)</f>
        <v>0</v>
      </c>
      <c r="H84" s="11">
        <f>VLOOKUP($A84,'Mat of App'!$B$7:$AP$43,H$66,FALSE)</f>
        <v>0</v>
      </c>
      <c r="I84" s="11">
        <f>VLOOKUP($A84,'Mat of App'!$B$7:$AP$43,I$66,FALSE)</f>
        <v>0</v>
      </c>
      <c r="J84" s="7"/>
      <c r="K84"/>
    </row>
    <row r="85" spans="1:11" ht="15">
      <c r="A85" s="285" t="s">
        <v>1518</v>
      </c>
      <c r="B85" s="11">
        <f>VLOOKUP($A85,'Mat of App'!$B$7:$AP$43,B$66,FALSE)</f>
        <v>0</v>
      </c>
      <c r="C85" s="11">
        <f>VLOOKUP($A85,'Mat of App'!$B$7:$AP$43,C$66,FALSE)</f>
        <v>0</v>
      </c>
      <c r="D85" s="11">
        <f>VLOOKUP($A85,'Mat of App'!$B$7:$AP$43,D$66,FALSE)</f>
        <v>0</v>
      </c>
      <c r="E85" s="11">
        <f>VLOOKUP($A85,'Mat of App'!$B$7:$AP$43,E$66,FALSE)</f>
        <v>0</v>
      </c>
      <c r="F85" s="11">
        <f>VLOOKUP($A85,'Mat of App'!$B$7:$AP$43,F$66,FALSE)</f>
        <v>0</v>
      </c>
      <c r="G85" s="11">
        <f>VLOOKUP($A85,'Mat of App'!$B$7:$AP$43,G$66,FALSE)</f>
        <v>0</v>
      </c>
      <c r="H85" s="11">
        <f>VLOOKUP($A85,'Mat of App'!$B$7:$AP$43,H$66,FALSE)</f>
        <v>0</v>
      </c>
      <c r="I85" s="11">
        <f>VLOOKUP($A85,'Mat of App'!$B$7:$AP$43,I$66,FALSE)</f>
        <v>0</v>
      </c>
      <c r="J85" s="7"/>
      <c r="K85"/>
    </row>
    <row r="86" spans="1:11" ht="15">
      <c r="A86" s="285" t="s">
        <v>66</v>
      </c>
      <c r="B86" s="11">
        <f>VLOOKUP($A86,'Mat of App'!$B$7:$AP$43,B$66,FALSE)</f>
        <v>0</v>
      </c>
      <c r="C86" s="11">
        <f>VLOOKUP($A86,'Mat of App'!$B$7:$AP$43,C$66,FALSE)</f>
        <v>0</v>
      </c>
      <c r="D86" s="11">
        <f>VLOOKUP($A86,'Mat of App'!$B$7:$AP$43,D$66,FALSE)</f>
        <v>0</v>
      </c>
      <c r="E86" s="11">
        <f>VLOOKUP($A86,'Mat of App'!$B$7:$AP$43,E$66,FALSE)</f>
        <v>0</v>
      </c>
      <c r="F86" s="11">
        <f>VLOOKUP($A86,'Mat of App'!$B$7:$AP$43,F$66,FALSE)</f>
        <v>0</v>
      </c>
      <c r="G86" s="11">
        <f>VLOOKUP($A86,'Mat of App'!$B$7:$AP$43,G$66,FALSE)</f>
        <v>0</v>
      </c>
      <c r="H86" s="11">
        <f>VLOOKUP($A86,'Mat of App'!$B$7:$AP$43,H$66,FALSE)</f>
        <v>0</v>
      </c>
      <c r="I86" s="11">
        <f>VLOOKUP($A86,'Mat of App'!$B$7:$AP$43,I$66,FALSE)</f>
        <v>0</v>
      </c>
      <c r="J86" s="7"/>
      <c r="K86"/>
    </row>
    <row r="87" spans="1:11" ht="15">
      <c r="A87" s="285" t="s">
        <v>1519</v>
      </c>
      <c r="B87" s="11">
        <f>VLOOKUP($A87,'Mat of App'!$B$7:$AP$43,B$66,FALSE)</f>
        <v>0</v>
      </c>
      <c r="C87" s="11">
        <f>VLOOKUP($A87,'Mat of App'!$B$7:$AP$43,C$66,FALSE)</f>
        <v>0</v>
      </c>
      <c r="D87" s="11">
        <f>VLOOKUP($A87,'Mat of App'!$B$7:$AP$43,D$66,FALSE)</f>
        <v>0</v>
      </c>
      <c r="E87" s="11">
        <f>VLOOKUP($A87,'Mat of App'!$B$7:$AP$43,E$66,FALSE)</f>
        <v>0</v>
      </c>
      <c r="F87" s="11">
        <f>VLOOKUP($A87,'Mat of App'!$B$7:$AP$43,F$66,FALSE)</f>
        <v>0</v>
      </c>
      <c r="G87" s="11">
        <f>VLOOKUP($A87,'Mat of App'!$B$7:$AP$43,G$66,FALSE)</f>
        <v>0</v>
      </c>
      <c r="H87" s="11">
        <f>VLOOKUP($A87,'Mat of App'!$B$7:$AP$43,H$66,FALSE)</f>
        <v>0</v>
      </c>
      <c r="I87" s="11">
        <f>VLOOKUP($A87,'Mat of App'!$B$7:$AP$43,I$66,FALSE)</f>
        <v>0</v>
      </c>
      <c r="J87" s="7" t="s">
        <v>224</v>
      </c>
      <c r="K87"/>
    </row>
    <row r="88" spans="1:11" ht="15">
      <c r="A88"/>
      <c r="B88"/>
      <c r="C88"/>
      <c r="D88"/>
      <c r="E88"/>
      <c r="F88"/>
      <c r="G88"/>
      <c r="H88"/>
      <c r="I88"/>
      <c r="J88"/>
      <c r="K88"/>
    </row>
    <row r="89" spans="1:11" ht="19.5">
      <c r="A89" s="1" t="s">
        <v>67</v>
      </c>
      <c r="B89"/>
      <c r="C89"/>
      <c r="D89"/>
      <c r="E89"/>
      <c r="F89"/>
      <c r="G89"/>
      <c r="H89"/>
      <c r="I89"/>
      <c r="J89"/>
      <c r="K89"/>
    </row>
    <row r="90" spans="1:11" ht="15">
      <c r="A90" s="2"/>
      <c r="B90"/>
      <c r="C90"/>
      <c r="D90"/>
      <c r="E90"/>
      <c r="F90"/>
      <c r="G90"/>
      <c r="H90"/>
      <c r="I90"/>
      <c r="J90"/>
      <c r="K90"/>
    </row>
    <row r="91" spans="1:11" ht="15">
      <c r="A91" s="2" t="s">
        <v>68</v>
      </c>
      <c r="B91"/>
      <c r="C91"/>
      <c r="D91"/>
      <c r="E91"/>
      <c r="F91"/>
      <c r="G91"/>
      <c r="H91"/>
      <c r="I91"/>
      <c r="J91"/>
      <c r="K91"/>
    </row>
    <row r="92" spans="1:11" ht="15">
      <c r="A92" t="s">
        <v>69</v>
      </c>
      <c r="B92"/>
      <c r="C92"/>
      <c r="D92"/>
      <c r="E92"/>
      <c r="F92"/>
      <c r="G92"/>
      <c r="H92"/>
      <c r="I92"/>
      <c r="J92"/>
      <c r="K92"/>
    </row>
    <row r="93" spans="1:11" ht="15">
      <c r="A93"/>
      <c r="B93" s="3" t="s">
        <v>37</v>
      </c>
      <c r="C93" s="3" t="s">
        <v>38</v>
      </c>
      <c r="D93" s="3" t="s">
        <v>39</v>
      </c>
      <c r="E93" s="3" t="s">
        <v>40</v>
      </c>
      <c r="F93" s="3" t="s">
        <v>41</v>
      </c>
      <c r="G93" s="3" t="s">
        <v>42</v>
      </c>
      <c r="H93" s="3" t="s">
        <v>43</v>
      </c>
      <c r="I93" s="3" t="s">
        <v>44</v>
      </c>
      <c r="J93"/>
      <c r="K93"/>
    </row>
    <row r="94" spans="1:11" ht="15">
      <c r="A94" s="8" t="s">
        <v>70</v>
      </c>
      <c r="B94" s="4">
        <f>VLOOKUP($A94,'Mat of App'!$B$7:$AP$43,B$66,FALSE)</f>
        <v>0</v>
      </c>
      <c r="C94" s="4">
        <f>VLOOKUP($A94,'Mat of App'!$B$7:$AP$43,C$66,FALSE)</f>
        <v>0</v>
      </c>
      <c r="D94" s="4">
        <f>VLOOKUP($A94,'Mat of App'!$B$7:$AP$43,D$66,FALSE)</f>
        <v>0</v>
      </c>
      <c r="E94" s="4">
        <f>VLOOKUP($A94,'Mat of App'!$B$7:$AP$43,E$66,FALSE)</f>
        <v>0</v>
      </c>
      <c r="F94" s="4">
        <f>VLOOKUP($A94,'Mat of App'!$B$7:$AP$43,F$66,FALSE)</f>
        <v>0</v>
      </c>
      <c r="G94" s="4">
        <f>VLOOKUP($A94,'Mat of App'!$B$7:$AP$43,G$66,FALSE)</f>
        <v>0</v>
      </c>
      <c r="H94" s="4">
        <f>VLOOKUP($A94,'Mat of App'!$B$7:$AP$43,H$66,FALSE)</f>
        <v>0</v>
      </c>
      <c r="I94" s="4">
        <f>VLOOKUP($A94,'Mat of App'!$B$7:$AP$43,I$66,FALSE)</f>
        <v>0.48799999999999999</v>
      </c>
      <c r="J94" s="7" t="s">
        <v>224</v>
      </c>
      <c r="K94"/>
    </row>
    <row r="95" spans="1:11" ht="15">
      <c r="A95"/>
      <c r="B95"/>
      <c r="C95"/>
      <c r="D95"/>
      <c r="E95"/>
      <c r="F95"/>
      <c r="G95"/>
      <c r="H95"/>
      <c r="I95"/>
      <c r="J95"/>
      <c r="K95"/>
    </row>
    <row r="96" spans="1:11" ht="19.5">
      <c r="A96" s="1" t="s">
        <v>71</v>
      </c>
      <c r="B96"/>
      <c r="C96"/>
      <c r="D96"/>
      <c r="E96"/>
      <c r="F96"/>
      <c r="G96"/>
      <c r="H96"/>
      <c r="I96"/>
      <c r="J96"/>
      <c r="K96"/>
    </row>
    <row r="97" spans="1:11" ht="15">
      <c r="A97"/>
      <c r="B97">
        <v>2</v>
      </c>
      <c r="C97">
        <f>B97+1</f>
        <v>3</v>
      </c>
      <c r="D97">
        <f>C97+1</f>
        <v>4</v>
      </c>
      <c r="E97">
        <f>D97+1</f>
        <v>5</v>
      </c>
      <c r="F97">
        <f>E97+1</f>
        <v>6</v>
      </c>
      <c r="G97"/>
      <c r="H97"/>
      <c r="I97"/>
      <c r="J97"/>
      <c r="K97"/>
    </row>
    <row r="98" spans="1:11" ht="15">
      <c r="A98"/>
      <c r="B98" s="3" t="s">
        <v>47</v>
      </c>
      <c r="C98" s="3" t="s">
        <v>48</v>
      </c>
      <c r="D98" s="3" t="s">
        <v>49</v>
      </c>
      <c r="E98" s="3" t="s">
        <v>50</v>
      </c>
      <c r="F98" s="3" t="s">
        <v>51</v>
      </c>
      <c r="G98"/>
      <c r="H98"/>
      <c r="I98"/>
      <c r="J98"/>
      <c r="K98"/>
    </row>
    <row r="99" spans="1:11" ht="15">
      <c r="A99" s="285" t="s">
        <v>72</v>
      </c>
      <c r="B99" s="11">
        <f>VLOOKUP($A99,'Mat of App'!$B$7:$AP$43,B$97,FALSE)</f>
        <v>1</v>
      </c>
      <c r="C99" s="11">
        <f>VLOOKUP($A99,'Mat of App'!$B$7:$AP$43,C$97,FALSE)</f>
        <v>0</v>
      </c>
      <c r="D99" s="11">
        <f>VLOOKUP($A99,'Mat of App'!$B$7:$AP$43,D$97,FALSE)</f>
        <v>0</v>
      </c>
      <c r="E99" s="11">
        <f>VLOOKUP($A99,'Mat of App'!$B$7:$AP$43,E$97,FALSE)</f>
        <v>0</v>
      </c>
      <c r="F99" s="11">
        <f>VLOOKUP($A99,'Mat of App'!$B$7:$AP$43,F$97,FALSE)</f>
        <v>0</v>
      </c>
      <c r="G99" s="7" t="s">
        <v>224</v>
      </c>
      <c r="H99"/>
      <c r="I99"/>
      <c r="J99"/>
      <c r="K99"/>
    </row>
    <row r="100" spans="1:11" ht="15">
      <c r="A100" s="285" t="s">
        <v>73</v>
      </c>
      <c r="B100" s="11">
        <f>VLOOKUP($A100,'Mat of App'!$B$7:$AP$43,B$97,FALSE)</f>
        <v>1</v>
      </c>
      <c r="C100" s="11">
        <f>VLOOKUP($A100,'Mat of App'!$B$7:$AP$43,C$97,FALSE)</f>
        <v>0</v>
      </c>
      <c r="D100" s="11">
        <f>VLOOKUP($A100,'Mat of App'!$B$7:$AP$43,D$97,FALSE)</f>
        <v>0</v>
      </c>
      <c r="E100" s="11">
        <f>VLOOKUP($A100,'Mat of App'!$B$7:$AP$43,E$97,FALSE)</f>
        <v>0</v>
      </c>
      <c r="F100" s="11">
        <f>VLOOKUP($A100,'Mat of App'!$B$7:$AP$43,F$97,FALSE)</f>
        <v>0</v>
      </c>
      <c r="G100" s="7" t="s">
        <v>224</v>
      </c>
      <c r="H100"/>
      <c r="I100"/>
      <c r="J100"/>
      <c r="K100"/>
    </row>
    <row r="101" spans="1:11" customFormat="1" ht="15">
      <c r="A101" s="285" t="s">
        <v>74</v>
      </c>
      <c r="B101" s="11">
        <f>VLOOKUP($A101,'Mat of App'!$B$7:$AP$43,B$97,FALSE)</f>
        <v>0</v>
      </c>
      <c r="C101" s="11">
        <f>VLOOKUP($A101,'Mat of App'!$B$7:$AP$43,C$97,FALSE)</f>
        <v>1</v>
      </c>
      <c r="D101" s="11">
        <f>VLOOKUP($A101,'Mat of App'!$B$7:$AP$43,D$97,FALSE)</f>
        <v>0</v>
      </c>
      <c r="E101" s="11">
        <f>VLOOKUP($A101,'Mat of App'!$B$7:$AP$43,E$97,FALSE)</f>
        <v>0</v>
      </c>
      <c r="F101" s="11">
        <f>VLOOKUP($A101,'Mat of App'!$B$7:$AP$43,F$97,FALSE)</f>
        <v>0</v>
      </c>
      <c r="G101" s="7"/>
    </row>
    <row r="102" spans="1:11" customFormat="1" ht="15">
      <c r="A102" s="285" t="s">
        <v>1520</v>
      </c>
      <c r="B102" s="11">
        <f>VLOOKUP($A102,'Mat of App'!$B$7:$AP$43,B$97,FALSE)</f>
        <v>0</v>
      </c>
      <c r="C102" s="11">
        <f>VLOOKUP($A102,'Mat of App'!$B$7:$AP$43,C$97,FALSE)</f>
        <v>1</v>
      </c>
      <c r="D102" s="11">
        <f>VLOOKUP($A102,'Mat of App'!$B$7:$AP$43,D$97,FALSE)</f>
        <v>0</v>
      </c>
      <c r="E102" s="11">
        <f>VLOOKUP($A102,'Mat of App'!$B$7:$AP$43,E$97,FALSE)</f>
        <v>0</v>
      </c>
      <c r="F102" s="11">
        <f>VLOOKUP($A102,'Mat of App'!$B$7:$AP$43,F$97,FALSE)</f>
        <v>0</v>
      </c>
      <c r="G102" s="7"/>
    </row>
    <row r="103" spans="1:11" customFormat="1" ht="15">
      <c r="A103" s="285" t="s">
        <v>75</v>
      </c>
      <c r="B103" s="11">
        <f>VLOOKUP($A103,'Mat of App'!$B$7:$AP$43,B$97,FALSE)</f>
        <v>0</v>
      </c>
      <c r="C103" s="11">
        <f>VLOOKUP($A103,'Mat of App'!$B$7:$AP$43,C$97,FALSE)</f>
        <v>1</v>
      </c>
      <c r="D103" s="11">
        <f>VLOOKUP($A103,'Mat of App'!$B$7:$AP$43,D$97,FALSE)</f>
        <v>0</v>
      </c>
      <c r="E103" s="11">
        <f>VLOOKUP($A103,'Mat of App'!$B$7:$AP$43,E$97,FALSE)</f>
        <v>0</v>
      </c>
      <c r="F103" s="11">
        <f>VLOOKUP($A103,'Mat of App'!$B$7:$AP$43,F$97,FALSE)</f>
        <v>0</v>
      </c>
      <c r="G103" s="7"/>
    </row>
    <row r="104" spans="1:11" customFormat="1" ht="15">
      <c r="A104" s="285" t="s">
        <v>1521</v>
      </c>
      <c r="B104" s="11">
        <f>VLOOKUP($A104,'Mat of App'!$B$7:$AP$43,B$97,FALSE)</f>
        <v>0</v>
      </c>
      <c r="C104" s="11">
        <f>VLOOKUP($A104,'Mat of App'!$B$7:$AP$43,C$97,FALSE)</f>
        <v>1</v>
      </c>
      <c r="D104" s="11">
        <f>VLOOKUP($A104,'Mat of App'!$B$7:$AP$43,D$97,FALSE)</f>
        <v>0</v>
      </c>
      <c r="E104" s="11">
        <f>VLOOKUP($A104,'Mat of App'!$B$7:$AP$43,E$97,FALSE)</f>
        <v>0</v>
      </c>
      <c r="F104" s="11">
        <f>VLOOKUP($A104,'Mat of App'!$B$7:$AP$43,F$97,FALSE)</f>
        <v>0</v>
      </c>
      <c r="G104" s="7"/>
    </row>
    <row r="105" spans="1:11" ht="15">
      <c r="A105"/>
      <c r="B105"/>
      <c r="C105"/>
      <c r="D105"/>
      <c r="E105"/>
      <c r="F105"/>
      <c r="G105"/>
      <c r="H105"/>
      <c r="I105"/>
      <c r="J105"/>
      <c r="K105"/>
    </row>
    <row r="106" spans="1:11" ht="19.5">
      <c r="A106" s="1" t="s">
        <v>76</v>
      </c>
      <c r="B106"/>
      <c r="C106"/>
      <c r="D106"/>
      <c r="E106"/>
      <c r="F106"/>
      <c r="G106"/>
      <c r="H106"/>
      <c r="I106"/>
      <c r="J106"/>
      <c r="K106"/>
    </row>
    <row r="107" spans="1:11" ht="15">
      <c r="A107" s="2" t="s">
        <v>224</v>
      </c>
      <c r="B107"/>
      <c r="C107"/>
      <c r="D107"/>
      <c r="E107"/>
      <c r="F107"/>
      <c r="G107"/>
      <c r="H107"/>
      <c r="I107"/>
      <c r="J107"/>
      <c r="K107"/>
    </row>
    <row r="108" spans="1:11" ht="15">
      <c r="A108" t="s">
        <v>77</v>
      </c>
      <c r="B108"/>
      <c r="C108"/>
      <c r="D108"/>
      <c r="E108"/>
      <c r="F108"/>
      <c r="G108"/>
      <c r="H108"/>
      <c r="I108"/>
      <c r="J108"/>
      <c r="K108"/>
    </row>
    <row r="109" spans="1:11" ht="15">
      <c r="A109"/>
      <c r="B109" s="3" t="s">
        <v>23</v>
      </c>
      <c r="C109" s="3" t="s">
        <v>24</v>
      </c>
      <c r="D109" s="3" t="s">
        <v>25</v>
      </c>
      <c r="E109" s="3" t="s">
        <v>26</v>
      </c>
      <c r="F109" s="3" t="s">
        <v>27</v>
      </c>
      <c r="G109" s="3" t="s">
        <v>28</v>
      </c>
      <c r="H109" s="3" t="s">
        <v>29</v>
      </c>
      <c r="I109"/>
      <c r="J109"/>
      <c r="K109"/>
    </row>
    <row r="110" spans="1:11" ht="15">
      <c r="A110" s="8" t="s">
        <v>78</v>
      </c>
      <c r="B110" s="4">
        <f>VLOOKUP(Vlookup!B69,'CDCM Forecast Data'!$A$14:$I$271,5,FALSE)</f>
        <v>1.002</v>
      </c>
      <c r="C110" s="4">
        <f>VLOOKUP(Vlookup!C69,'CDCM Forecast Data'!$A$14:$I$271,5,FALSE)</f>
        <v>1.006</v>
      </c>
      <c r="D110" s="4">
        <f>VLOOKUP(Vlookup!D69,'CDCM Forecast Data'!$A$14:$I$271,5,FALSE)</f>
        <v>1.012</v>
      </c>
      <c r="E110" s="4">
        <f>VLOOKUP(Vlookup!E69,'CDCM Forecast Data'!$A$14:$I$271,5,FALSE)</f>
        <v>1.0209999999999999</v>
      </c>
      <c r="F110" s="4">
        <f>VLOOKUP(Vlookup!F69,'CDCM Forecast Data'!$A$14:$I$271,5,FALSE)</f>
        <v>1.038</v>
      </c>
      <c r="G110" s="4">
        <f>VLOOKUP(Vlookup!G69,'CDCM Forecast Data'!$A$14:$I$271,5,FALSE)</f>
        <v>1.0489999999999999</v>
      </c>
      <c r="H110" s="4">
        <f>VLOOKUP(Vlookup!H69,'CDCM Forecast Data'!$A$14:$I$271,5,FALSE)</f>
        <v>1.0620000000000001</v>
      </c>
      <c r="I110" s="7" t="s">
        <v>224</v>
      </c>
      <c r="J110"/>
      <c r="K110"/>
    </row>
    <row r="111" spans="1:11" ht="15">
      <c r="A111"/>
      <c r="B111"/>
      <c r="C111"/>
      <c r="D111"/>
      <c r="E111"/>
      <c r="F111"/>
      <c r="G111"/>
      <c r="H111"/>
      <c r="I111"/>
      <c r="J111"/>
      <c r="K111"/>
    </row>
    <row r="112" spans="1:11" ht="19.5">
      <c r="A112" s="1" t="s">
        <v>79</v>
      </c>
      <c r="B112"/>
      <c r="C112"/>
      <c r="D112"/>
      <c r="E112"/>
      <c r="F112"/>
      <c r="G112"/>
      <c r="H112"/>
      <c r="I112"/>
      <c r="J112"/>
      <c r="K112"/>
    </row>
    <row r="113" spans="1:11" ht="15">
      <c r="A113" s="2" t="s">
        <v>224</v>
      </c>
      <c r="B113"/>
      <c r="C113"/>
      <c r="D113"/>
      <c r="E113"/>
      <c r="F113"/>
      <c r="G113"/>
      <c r="H113"/>
      <c r="I113"/>
      <c r="J113"/>
      <c r="K113"/>
    </row>
    <row r="114" spans="1:11" ht="15">
      <c r="A114" t="s">
        <v>80</v>
      </c>
      <c r="B114"/>
      <c r="C114"/>
      <c r="D114"/>
      <c r="E114"/>
      <c r="F114"/>
      <c r="G114"/>
      <c r="H114"/>
      <c r="I114"/>
      <c r="J114"/>
      <c r="K114"/>
    </row>
    <row r="115" spans="1:11" ht="15">
      <c r="A115"/>
      <c r="B115" s="3" t="s">
        <v>81</v>
      </c>
      <c r="C115" s="3" t="s">
        <v>82</v>
      </c>
      <c r="D115" s="3" t="s">
        <v>83</v>
      </c>
      <c r="E115" s="3" t="s">
        <v>84</v>
      </c>
      <c r="F115" s="3" t="s">
        <v>85</v>
      </c>
      <c r="G115"/>
      <c r="H115"/>
      <c r="I115"/>
      <c r="J115"/>
      <c r="K115"/>
    </row>
    <row r="116" spans="1:11" ht="15">
      <c r="A116" s="8" t="s">
        <v>86</v>
      </c>
      <c r="B116" s="6"/>
      <c r="C116" s="11">
        <f>VLOOKUP(Vlookup!C75,'CDCM Forecast Data'!$A$14:$I$271,5,FALSE)</f>
        <v>0.37267999985613431</v>
      </c>
      <c r="D116" s="11">
        <f>VLOOKUP(Vlookup!D75,'CDCM Forecast Data'!$A$14:$I$271,5,FALSE)</f>
        <v>0.6188090826390088</v>
      </c>
      <c r="E116" s="11">
        <f>VLOOKUP(Vlookup!E75,'CDCM Forecast Data'!$A$14:$I$271,5,FALSE)</f>
        <v>0.3749541673400224</v>
      </c>
      <c r="F116" s="11">
        <f>VLOOKUP(Vlookup!F75,'CDCM Forecast Data'!$A$14:$I$271,5,FALSE)</f>
        <v>0.25863289422864333</v>
      </c>
      <c r="G116" s="7" t="s">
        <v>224</v>
      </c>
      <c r="H116"/>
      <c r="I116"/>
      <c r="J116"/>
      <c r="K116"/>
    </row>
    <row r="117" spans="1:11" ht="15">
      <c r="A117"/>
      <c r="B117"/>
      <c r="C117"/>
      <c r="D117"/>
      <c r="E117"/>
      <c r="F117"/>
      <c r="G117"/>
      <c r="H117"/>
      <c r="I117"/>
      <c r="J117"/>
      <c r="K117"/>
    </row>
    <row r="118" spans="1:11" ht="19.5">
      <c r="A118" s="1" t="s">
        <v>87</v>
      </c>
      <c r="B118"/>
      <c r="C118"/>
      <c r="D118"/>
      <c r="E118"/>
      <c r="F118"/>
      <c r="G118"/>
      <c r="H118"/>
      <c r="I118"/>
      <c r="J118"/>
      <c r="K118"/>
    </row>
    <row r="119" spans="1:11" ht="15">
      <c r="A119" s="2"/>
      <c r="B119"/>
      <c r="C119"/>
      <c r="D119"/>
      <c r="E119"/>
      <c r="F119"/>
      <c r="G119"/>
      <c r="H119"/>
      <c r="I119"/>
      <c r="J119"/>
      <c r="K119"/>
    </row>
    <row r="120" spans="1:11" ht="15">
      <c r="A120" t="s">
        <v>88</v>
      </c>
      <c r="B120"/>
      <c r="C120"/>
      <c r="D120"/>
      <c r="E120"/>
      <c r="F120"/>
      <c r="G120"/>
      <c r="H120"/>
      <c r="I120"/>
      <c r="J120"/>
      <c r="K120"/>
    </row>
    <row r="121" spans="1:11" ht="15">
      <c r="A121"/>
      <c r="B121" s="3" t="s">
        <v>89</v>
      </c>
      <c r="C121" s="3" t="s">
        <v>90</v>
      </c>
      <c r="D121"/>
      <c r="E121"/>
      <c r="F121"/>
      <c r="G121"/>
      <c r="H121"/>
      <c r="I121"/>
      <c r="J121"/>
      <c r="K121"/>
    </row>
    <row r="122" spans="1:11" ht="15">
      <c r="A122" s="8" t="s">
        <v>54</v>
      </c>
      <c r="B122" s="4">
        <f>VLOOKUP(Vlookup!B81,'CDCM Forecast Data'!$A$14:$I$271,5,FALSE)</f>
        <v>0.9161200130357342</v>
      </c>
      <c r="C122" s="4">
        <f>VLOOKUP(Vlookup!C81,'CDCM Forecast Data'!$A$14:$I$271,5,FALSE)</f>
        <v>0.41794848731992928</v>
      </c>
      <c r="D122" s="7" t="s">
        <v>224</v>
      </c>
      <c r="E122"/>
      <c r="F122"/>
      <c r="G122"/>
      <c r="H122"/>
      <c r="I122"/>
      <c r="J122"/>
      <c r="K122"/>
    </row>
    <row r="123" spans="1:11" ht="15">
      <c r="A123" s="8" t="s">
        <v>55</v>
      </c>
      <c r="B123" s="4">
        <f>VLOOKUP(Vlookup!B82,'CDCM Forecast Data'!$A$14:$I$271,5,FALSE)</f>
        <v>0.34251063480316429</v>
      </c>
      <c r="C123" s="4">
        <f>VLOOKUP(Vlookup!C82,'CDCM Forecast Data'!$A$14:$I$271,5,FALSE)</f>
        <v>0.25787268553133197</v>
      </c>
      <c r="D123" s="7" t="s">
        <v>224</v>
      </c>
      <c r="E123"/>
      <c r="F123"/>
      <c r="G123"/>
      <c r="H123"/>
      <c r="I123"/>
      <c r="J123"/>
      <c r="K123"/>
    </row>
    <row r="124" spans="1:11" ht="15">
      <c r="A124" s="8" t="s">
        <v>91</v>
      </c>
      <c r="B124" s="6"/>
      <c r="C124" s="4">
        <f>VLOOKUP(Vlookup!C83,'CDCM Forecast Data'!$A$14:$I$271,5,FALSE)</f>
        <v>0.14408187510851836</v>
      </c>
      <c r="D124" s="7" t="s">
        <v>224</v>
      </c>
      <c r="E124"/>
      <c r="F124"/>
      <c r="G124"/>
      <c r="H124"/>
      <c r="I124"/>
      <c r="J124"/>
      <c r="K124"/>
    </row>
    <row r="125" spans="1:11" ht="15">
      <c r="A125" s="8" t="s">
        <v>56</v>
      </c>
      <c r="B125" s="4">
        <f>VLOOKUP(Vlookup!B84,'CDCM Forecast Data'!$A$14:$I$271,5,FALSE)</f>
        <v>0.63581024857807822</v>
      </c>
      <c r="C125" s="4">
        <f>VLOOKUP(Vlookup!C84,'CDCM Forecast Data'!$A$14:$I$271,5,FALSE)</f>
        <v>0.39168322631991553</v>
      </c>
      <c r="D125" s="7" t="s">
        <v>224</v>
      </c>
      <c r="E125"/>
      <c r="F125"/>
      <c r="G125"/>
      <c r="H125"/>
      <c r="I125"/>
      <c r="J125"/>
      <c r="K125"/>
    </row>
    <row r="126" spans="1:11" ht="15">
      <c r="A126" s="8" t="s">
        <v>57</v>
      </c>
      <c r="B126" s="4">
        <f>VLOOKUP(Vlookup!B85,'CDCM Forecast Data'!$A$14:$I$271,5,FALSE)</f>
        <v>0.58840544954710228</v>
      </c>
      <c r="C126" s="4">
        <f>VLOOKUP(Vlookup!C85,'CDCM Forecast Data'!$A$14:$I$271,5,FALSE)</f>
        <v>0.4286725135799398</v>
      </c>
      <c r="D126" s="7" t="s">
        <v>224</v>
      </c>
      <c r="E126"/>
      <c r="F126"/>
      <c r="G126"/>
      <c r="H126"/>
      <c r="I126"/>
      <c r="J126"/>
      <c r="K126"/>
    </row>
    <row r="127" spans="1:11" ht="15">
      <c r="A127" s="8" t="s">
        <v>92</v>
      </c>
      <c r="B127" s="6"/>
      <c r="C127" s="4">
        <f>VLOOKUP(Vlookup!C86,'CDCM Forecast Data'!$A$14:$I$271,5,FALSE)</f>
        <v>0.15294404542816803</v>
      </c>
      <c r="D127" s="7" t="s">
        <v>224</v>
      </c>
      <c r="E127"/>
      <c r="F127"/>
      <c r="G127"/>
      <c r="H127"/>
      <c r="I127"/>
      <c r="J127"/>
      <c r="K127"/>
    </row>
    <row r="128" spans="1:11" ht="15">
      <c r="A128" s="8" t="s">
        <v>58</v>
      </c>
      <c r="B128" s="4">
        <f>VLOOKUP(Vlookup!B87,'CDCM Forecast Data'!$A$14:$I$271,5,FALSE)</f>
        <v>0.85855132048386718</v>
      </c>
      <c r="C128" s="4">
        <f>VLOOKUP(Vlookup!C87,'CDCM Forecast Data'!$A$14:$I$271,5,FALSE)</f>
        <v>0.59360150796757727</v>
      </c>
      <c r="D128" s="7" t="s">
        <v>224</v>
      </c>
      <c r="E128"/>
      <c r="F128"/>
      <c r="G128"/>
      <c r="H128"/>
      <c r="I128"/>
      <c r="J128"/>
      <c r="K128"/>
    </row>
    <row r="129" spans="1:11" ht="15">
      <c r="A129" s="8" t="s">
        <v>59</v>
      </c>
      <c r="B129" s="4">
        <f>VLOOKUP(Vlookup!B88,'CDCM Forecast Data'!$A$14:$I$271,5,FALSE)</f>
        <v>0.83823141723685424</v>
      </c>
      <c r="C129" s="4">
        <f>VLOOKUP(Vlookup!C88,'CDCM Forecast Data'!$A$14:$I$271,5,FALSE)</f>
        <v>0.60009005575416807</v>
      </c>
      <c r="D129" s="7" t="s">
        <v>224</v>
      </c>
      <c r="E129"/>
      <c r="F129"/>
      <c r="G129"/>
      <c r="H129"/>
      <c r="I129"/>
      <c r="J129"/>
      <c r="K129"/>
    </row>
    <row r="130" spans="1:11" ht="15">
      <c r="A130" s="8" t="s">
        <v>72</v>
      </c>
      <c r="B130" s="4">
        <f>VLOOKUP(Vlookup!B89,'CDCM Forecast Data'!$A$14:$I$271,5,FALSE)</f>
        <v>0.6632207801144262</v>
      </c>
      <c r="C130" s="4">
        <f>VLOOKUP(Vlookup!C89,'CDCM Forecast Data'!$A$14:$I$271,5,FALSE)</f>
        <v>0.45490842079580179</v>
      </c>
      <c r="D130" s="7" t="s">
        <v>224</v>
      </c>
      <c r="E130"/>
      <c r="F130"/>
      <c r="G130"/>
      <c r="H130"/>
      <c r="I130"/>
      <c r="J130"/>
      <c r="K130"/>
    </row>
    <row r="131" spans="1:11" ht="15">
      <c r="A131" s="8" t="s">
        <v>1178</v>
      </c>
      <c r="B131" s="4">
        <f>VLOOKUP(Vlookup!B90,'CDCM Forecast Data'!$A$14:$I$271,5,FALSE)</f>
        <v>0.82598957531386852</v>
      </c>
      <c r="C131" s="4">
        <f>VLOOKUP(Vlookup!C90,'CDCM Forecast Data'!$A$14:$I$271,5,FALSE)</f>
        <v>0.38999288958750616</v>
      </c>
      <c r="D131" s="7" t="s">
        <v>224</v>
      </c>
      <c r="E131"/>
      <c r="F131"/>
      <c r="G131"/>
      <c r="H131"/>
      <c r="I131"/>
      <c r="J131"/>
      <c r="K131"/>
    </row>
    <row r="132" spans="1:11" ht="15">
      <c r="A132" s="8" t="s">
        <v>1177</v>
      </c>
      <c r="B132" s="4">
        <f>VLOOKUP(Vlookup!B91,'CDCM Forecast Data'!$A$14:$I$271,5,FALSE)</f>
        <v>0.62627960493623358</v>
      </c>
      <c r="C132" s="4">
        <f>VLOOKUP(Vlookup!C91,'CDCM Forecast Data'!$A$14:$I$271,5,FALSE)</f>
        <v>0.39304953059499698</v>
      </c>
      <c r="D132" s="7" t="s">
        <v>224</v>
      </c>
      <c r="E132"/>
      <c r="F132"/>
      <c r="G132"/>
      <c r="H132"/>
      <c r="I132"/>
      <c r="J132"/>
      <c r="K132"/>
    </row>
    <row r="133" spans="1:11" ht="15">
      <c r="A133" s="8" t="s">
        <v>60</v>
      </c>
      <c r="B133" s="4">
        <f>VLOOKUP(Vlookup!B92,'CDCM Forecast Data'!$A$14:$I$271,5,FALSE)</f>
        <v>0.80328789495257791</v>
      </c>
      <c r="C133" s="4">
        <f>VLOOKUP(Vlookup!C92,'CDCM Forecast Data'!$A$14:$I$271,5,FALSE)</f>
        <v>0.58758032453585229</v>
      </c>
      <c r="D133" s="7" t="s">
        <v>224</v>
      </c>
      <c r="E133"/>
      <c r="F133"/>
      <c r="G133"/>
      <c r="H133"/>
      <c r="I133"/>
      <c r="J133"/>
      <c r="K133"/>
    </row>
    <row r="134" spans="1:11" ht="15">
      <c r="A134" s="8" t="s">
        <v>61</v>
      </c>
      <c r="B134" s="4">
        <f>VLOOKUP(Vlookup!B93,'CDCM Forecast Data'!$A$14:$I$271,5,FALSE)</f>
        <v>0.76581938451320009</v>
      </c>
      <c r="C134" s="4">
        <f>VLOOKUP(Vlookup!C93,'CDCM Forecast Data'!$A$14:$I$271,5,FALSE)</f>
        <v>0.6115171758902811</v>
      </c>
      <c r="D134" s="7"/>
      <c r="E134"/>
      <c r="F134"/>
      <c r="G134"/>
      <c r="H134"/>
      <c r="I134"/>
      <c r="J134"/>
      <c r="K134"/>
    </row>
    <row r="135" spans="1:11" ht="15">
      <c r="A135" s="8" t="s">
        <v>73</v>
      </c>
      <c r="B135" s="4">
        <f>VLOOKUP(Vlookup!B94,'CDCM Forecast Data'!$A$14:$I$271,5,FALSE)</f>
        <v>0.8005762642301345</v>
      </c>
      <c r="C135" s="4">
        <f>VLOOKUP(Vlookup!C94,'CDCM Forecast Data'!$A$14:$I$271,5,FALSE)</f>
        <v>0.72287194628784801</v>
      </c>
      <c r="D135" s="7"/>
      <c r="E135"/>
      <c r="F135"/>
      <c r="G135"/>
      <c r="H135"/>
      <c r="I135"/>
      <c r="J135"/>
      <c r="K135"/>
    </row>
    <row r="136" spans="1:11" ht="15">
      <c r="A136" s="8" t="s">
        <v>93</v>
      </c>
      <c r="B136" s="4">
        <f>VLOOKUP(Vlookup!B95,'CDCM Forecast Data'!$A$14:$I$271,5,FALSE)</f>
        <v>1</v>
      </c>
      <c r="C136" s="4">
        <f>VLOOKUP(Vlookup!C95,'CDCM Forecast Data'!$A$14:$I$271,5,FALSE)</f>
        <v>1</v>
      </c>
      <c r="D136" s="7" t="s">
        <v>224</v>
      </c>
      <c r="E136"/>
      <c r="F136"/>
      <c r="G136"/>
      <c r="H136"/>
      <c r="I136"/>
      <c r="J136"/>
      <c r="K136"/>
    </row>
    <row r="137" spans="1:11" ht="15">
      <c r="A137" s="8" t="s">
        <v>94</v>
      </c>
      <c r="B137" s="4">
        <f>VLOOKUP(Vlookup!B96,'CDCM Forecast Data'!$A$14:$I$271,5,FALSE)</f>
        <v>0.98387596899224805</v>
      </c>
      <c r="C137" s="4">
        <f>VLOOKUP(Vlookup!C96,'CDCM Forecast Data'!$A$14:$I$271,5,FALSE)</f>
        <v>0.47495478910775929</v>
      </c>
      <c r="D137" s="7"/>
      <c r="E137"/>
      <c r="F137"/>
      <c r="G137"/>
      <c r="H137"/>
      <c r="I137"/>
      <c r="J137"/>
      <c r="K137"/>
    </row>
    <row r="138" spans="1:11" ht="15">
      <c r="A138" s="8" t="s">
        <v>95</v>
      </c>
      <c r="B138" s="4">
        <f>VLOOKUP(Vlookup!B97,'CDCM Forecast Data'!$A$14:$I$271,5,FALSE)</f>
        <v>0.88050584275830202</v>
      </c>
      <c r="C138" s="4">
        <f>VLOOKUP(Vlookup!C97,'CDCM Forecast Data'!$A$14:$I$271,5,FALSE)</f>
        <v>0.24631614975022856</v>
      </c>
      <c r="D138" s="7"/>
      <c r="E138"/>
      <c r="F138"/>
      <c r="G138"/>
      <c r="H138"/>
      <c r="I138"/>
      <c r="J138"/>
      <c r="K138"/>
    </row>
    <row r="139" spans="1:11" ht="15">
      <c r="A139" s="8" t="s">
        <v>96</v>
      </c>
      <c r="B139" s="4">
        <f>VLOOKUP(Vlookup!B98,'CDCM Forecast Data'!$A$14:$I$271,5,FALSE)</f>
        <v>0</v>
      </c>
      <c r="C139" s="4">
        <f>VLOOKUP(Vlookup!C98,'CDCM Forecast Data'!$A$14:$I$271,5,FALSE)</f>
        <v>0.51526593887289751</v>
      </c>
      <c r="D139" s="7"/>
      <c r="E139"/>
      <c r="F139"/>
      <c r="G139"/>
      <c r="H139"/>
      <c r="I139"/>
      <c r="J139"/>
      <c r="K139"/>
    </row>
    <row r="140" spans="1:11" ht="15">
      <c r="A140" s="8" t="s">
        <v>97</v>
      </c>
      <c r="B140" s="4">
        <f>VLOOKUP(Vlookup!B99,'CDCM Forecast Data'!$A$14:$I$271,5,FALSE)</f>
        <v>0.97137455011863161</v>
      </c>
      <c r="C140" s="4">
        <f>VLOOKUP(Vlookup!C99,'CDCM Forecast Data'!$A$14:$I$271,5,FALSE)</f>
        <v>0.45549294344669516</v>
      </c>
      <c r="D140" s="7" t="s">
        <v>224</v>
      </c>
      <c r="E140"/>
      <c r="F140"/>
      <c r="G140"/>
      <c r="H140"/>
      <c r="I140"/>
      <c r="J140"/>
      <c r="K140"/>
    </row>
    <row r="141" spans="1:11" ht="15">
      <c r="A141"/>
      <c r="B141"/>
      <c r="C141"/>
      <c r="D141"/>
      <c r="E141"/>
      <c r="F141"/>
      <c r="G141"/>
      <c r="H141"/>
      <c r="I141"/>
      <c r="J141"/>
      <c r="K141"/>
    </row>
    <row r="142" spans="1:11" ht="19.5">
      <c r="A142" s="1" t="s">
        <v>98</v>
      </c>
      <c r="B142"/>
      <c r="C142"/>
      <c r="D142"/>
      <c r="E142"/>
      <c r="F142"/>
      <c r="G142"/>
      <c r="H142"/>
      <c r="I142"/>
      <c r="J142"/>
      <c r="K142"/>
    </row>
    <row r="143" spans="1:11" ht="15">
      <c r="A143" s="2" t="s">
        <v>224</v>
      </c>
      <c r="B143">
        <v>4</v>
      </c>
      <c r="C143">
        <v>5</v>
      </c>
      <c r="D143">
        <v>6</v>
      </c>
      <c r="E143">
        <v>7</v>
      </c>
      <c r="F143">
        <v>8</v>
      </c>
      <c r="G143">
        <v>9</v>
      </c>
      <c r="H143">
        <v>10</v>
      </c>
      <c r="I143"/>
      <c r="J143"/>
      <c r="K143"/>
    </row>
    <row r="144" spans="1:11" ht="15">
      <c r="A144" s="2" t="s">
        <v>99</v>
      </c>
      <c r="B144"/>
      <c r="C144"/>
      <c r="D144"/>
      <c r="E144"/>
      <c r="F144"/>
      <c r="G144"/>
      <c r="H144"/>
      <c r="I144"/>
      <c r="J144"/>
      <c r="K144"/>
    </row>
    <row r="145" spans="1:12" ht="15">
      <c r="A145" s="2" t="s">
        <v>100</v>
      </c>
      <c r="B145"/>
      <c r="C145"/>
      <c r="D145"/>
      <c r="E145"/>
      <c r="F145"/>
      <c r="G145"/>
      <c r="H145"/>
      <c r="I145"/>
      <c r="J145"/>
      <c r="K145"/>
    </row>
    <row r="146" spans="1:12" ht="15">
      <c r="A146" t="s">
        <v>101</v>
      </c>
      <c r="B146"/>
      <c r="C146"/>
      <c r="D146"/>
      <c r="E146"/>
      <c r="F146"/>
      <c r="G146"/>
      <c r="H146"/>
      <c r="I146"/>
      <c r="J146"/>
      <c r="K146"/>
    </row>
    <row r="147" spans="1:12" ht="30">
      <c r="A147"/>
      <c r="B147" s="3" t="s">
        <v>102</v>
      </c>
      <c r="C147" s="3" t="s">
        <v>103</v>
      </c>
      <c r="D147" s="3" t="s">
        <v>104</v>
      </c>
      <c r="E147" s="3" t="s">
        <v>105</v>
      </c>
      <c r="F147" s="3" t="s">
        <v>106</v>
      </c>
      <c r="G147" s="284" t="s">
        <v>1569</v>
      </c>
      <c r="H147" s="3" t="s">
        <v>107</v>
      </c>
      <c r="I147"/>
      <c r="J147"/>
      <c r="K147"/>
      <c r="L147"/>
    </row>
    <row r="148" spans="1:12" ht="15">
      <c r="A148" s="12" t="s">
        <v>108</v>
      </c>
      <c r="B148" s="13">
        <f>VLOOKUP(Vlookup!$B107,'CDCM Volume Forecasts'!$A$28:$AL$136,B$143,FALSE)</f>
        <v>0</v>
      </c>
      <c r="C148" s="13">
        <f>VLOOKUP(Vlookup!$B107,'CDCM Volume Forecasts'!$A$28:$AL$136,C$143,FALSE)</f>
        <v>0</v>
      </c>
      <c r="D148" s="13">
        <f>VLOOKUP(Vlookup!$B107,'CDCM Volume Forecasts'!$A$28:$AL$136,D$143,FALSE)</f>
        <v>0</v>
      </c>
      <c r="E148" s="13">
        <f>VLOOKUP(Vlookup!$B107,'CDCM Volume Forecasts'!$A$28:$AL$136,E$143,FALSE)</f>
        <v>0</v>
      </c>
      <c r="F148" s="13">
        <f>VLOOKUP(Vlookup!$B107,'CDCM Volume Forecasts'!$A$28:$AL$136,F$143,FALSE)</f>
        <v>0</v>
      </c>
      <c r="G148" s="13"/>
      <c r="H148" s="13">
        <f>VLOOKUP(Vlookup!$B107,'CDCM Volume Forecasts'!$A$28:$AL$136,G$143,FALSE)</f>
        <v>0</v>
      </c>
      <c r="I148" s="7"/>
      <c r="J148"/>
      <c r="K148"/>
      <c r="L148"/>
    </row>
    <row r="149" spans="1:12" ht="15">
      <c r="A149" s="8" t="s">
        <v>54</v>
      </c>
      <c r="B149" s="266">
        <f>VLOOKUP(Vlookup!$B108,'CDCM Volume Forecasts'!$A$28:$AL$136,B$143,FALSE)</f>
        <v>4308328.1799358893</v>
      </c>
      <c r="C149" s="292"/>
      <c r="D149" s="292"/>
      <c r="E149" s="266">
        <f>VLOOKUP(Vlookup!$B108,'CDCM Volume Forecasts'!$A$28:$AL$136,E$143,FALSE)</f>
        <v>1249039.053009829</v>
      </c>
      <c r="F149" s="292"/>
      <c r="G149" s="292"/>
      <c r="H149" s="292"/>
      <c r="I149" s="7"/>
      <c r="J149"/>
      <c r="K149"/>
      <c r="L149"/>
    </row>
    <row r="150" spans="1:12" ht="15">
      <c r="A150" s="8" t="s">
        <v>109</v>
      </c>
      <c r="B150" s="266">
        <f>VLOOKUP(Vlookup!$B109,'CDCM Volume Forecasts'!$A$28:$AL$136,B$143,FALSE)</f>
        <v>17317.244984043104</v>
      </c>
      <c r="C150" s="292"/>
      <c r="D150" s="292"/>
      <c r="E150" s="266">
        <f>VLOOKUP(Vlookup!$B109,'CDCM Volume Forecasts'!$A$28:$AL$136,E$143,FALSE)</f>
        <v>6432.4704020547961</v>
      </c>
      <c r="F150" s="292"/>
      <c r="G150" s="292"/>
      <c r="H150" s="292"/>
      <c r="I150" s="7"/>
      <c r="J150"/>
      <c r="K150"/>
      <c r="L150"/>
    </row>
    <row r="151" spans="1:12" ht="15">
      <c r="A151" s="8" t="s">
        <v>110</v>
      </c>
      <c r="B151" s="266">
        <f>VLOOKUP(Vlookup!$B110,'CDCM Volume Forecasts'!$A$28:$AL$136,B$143,FALSE)</f>
        <v>30359.986233439653</v>
      </c>
      <c r="C151" s="292"/>
      <c r="D151" s="292"/>
      <c r="E151" s="266">
        <f>VLOOKUP(Vlookup!$B110,'CDCM Volume Forecasts'!$A$28:$AL$136,E$143,FALSE)</f>
        <v>11844.01251369863</v>
      </c>
      <c r="F151" s="292"/>
      <c r="G151" s="292"/>
      <c r="H151" s="292"/>
      <c r="I151" s="7"/>
      <c r="J151"/>
      <c r="K151"/>
      <c r="L151"/>
    </row>
    <row r="152" spans="1:12" ht="15">
      <c r="A152" s="12" t="s">
        <v>111</v>
      </c>
      <c r="B152" s="290"/>
      <c r="C152" s="290"/>
      <c r="D152" s="290"/>
      <c r="E152" s="290"/>
      <c r="F152" s="290"/>
      <c r="G152" s="290"/>
      <c r="H152" s="290"/>
      <c r="I152" s="7"/>
      <c r="J152"/>
      <c r="K152"/>
      <c r="L152"/>
    </row>
    <row r="153" spans="1:12" ht="15">
      <c r="A153" s="8" t="s">
        <v>55</v>
      </c>
      <c r="B153" s="266">
        <f>VLOOKUP(Vlookup!$B112,'CDCM Volume Forecasts'!$A$28:$AL$136,B$143,FALSE)</f>
        <v>607941.0703076917</v>
      </c>
      <c r="C153" s="266">
        <f>VLOOKUP(Vlookup!$B112,'CDCM Volume Forecasts'!$A$28:$AL$136,C$143,FALSE)</f>
        <v>664320.74235178798</v>
      </c>
      <c r="D153" s="292"/>
      <c r="E153" s="266">
        <f>VLOOKUP(Vlookup!$B112,'CDCM Volume Forecasts'!$A$28:$AL$136,E$143,FALSE)</f>
        <v>209037.51452636323</v>
      </c>
      <c r="F153" s="292"/>
      <c r="G153" s="292"/>
      <c r="H153" s="292"/>
      <c r="I153" s="7"/>
      <c r="J153"/>
      <c r="K153"/>
      <c r="L153"/>
    </row>
    <row r="154" spans="1:12" ht="15">
      <c r="A154" s="8" t="s">
        <v>112</v>
      </c>
      <c r="B154" s="266">
        <f>VLOOKUP(Vlookup!$B113,'CDCM Volume Forecasts'!$A$28:$AL$136,B$143,FALSE)</f>
        <v>996.33454580172418</v>
      </c>
      <c r="C154" s="266">
        <f>VLOOKUP(Vlookup!$B113,'CDCM Volume Forecasts'!$A$28:$AL$136,C$143,FALSE)</f>
        <v>464.31544950000011</v>
      </c>
      <c r="D154" s="292"/>
      <c r="E154" s="266">
        <f>VLOOKUP(Vlookup!$B113,'CDCM Volume Forecasts'!$A$28:$AL$136,E$143,FALSE)</f>
        <v>424.57848904109591</v>
      </c>
      <c r="F154" s="292"/>
      <c r="G154" s="292"/>
      <c r="H154" s="292"/>
      <c r="I154" s="7"/>
      <c r="J154"/>
      <c r="K154"/>
      <c r="L154"/>
    </row>
    <row r="155" spans="1:12" ht="15">
      <c r="A155" s="8" t="s">
        <v>113</v>
      </c>
      <c r="B155" s="266">
        <f>VLOOKUP(Vlookup!$B114,'CDCM Volume Forecasts'!$A$28:$AL$136,B$143,FALSE)</f>
        <v>958.18848680172437</v>
      </c>
      <c r="C155" s="266">
        <f>VLOOKUP(Vlookup!$B114,'CDCM Volume Forecasts'!$A$28:$AL$136,C$143,FALSE)</f>
        <v>407.95688506034486</v>
      </c>
      <c r="D155" s="292"/>
      <c r="E155" s="266">
        <f>VLOOKUP(Vlookup!$B114,'CDCM Volume Forecasts'!$A$28:$AL$136,E$143,FALSE)</f>
        <v>368.39690136986303</v>
      </c>
      <c r="F155" s="292"/>
      <c r="G155" s="292"/>
      <c r="H155" s="292"/>
      <c r="I155" s="7"/>
      <c r="J155"/>
      <c r="K155"/>
      <c r="L155"/>
    </row>
    <row r="156" spans="1:12" ht="15">
      <c r="A156" s="12" t="s">
        <v>114</v>
      </c>
      <c r="B156" s="290"/>
      <c r="C156" s="290"/>
      <c r="D156" s="290"/>
      <c r="E156" s="290"/>
      <c r="F156" s="290"/>
      <c r="G156" s="290"/>
      <c r="H156" s="290"/>
      <c r="I156" s="7"/>
      <c r="J156"/>
      <c r="K156"/>
      <c r="L156"/>
    </row>
    <row r="157" spans="1:12" ht="15">
      <c r="A157" s="8" t="s">
        <v>91</v>
      </c>
      <c r="B157" s="266">
        <f>VLOOKUP(Vlookup!$B116,'CDCM Volume Forecasts'!$A$28:$AL$136,B$143,FALSE)</f>
        <v>45959.708361578618</v>
      </c>
      <c r="C157" s="292"/>
      <c r="D157" s="292"/>
      <c r="E157" s="266">
        <f>VLOOKUP(Vlookup!$B116,'CDCM Volume Forecasts'!$A$28:$AL$136,E$143,FALSE)</f>
        <v>15622</v>
      </c>
      <c r="F157" s="292"/>
      <c r="G157" s="292"/>
      <c r="H157" s="292"/>
      <c r="I157" s="7"/>
      <c r="J157"/>
      <c r="K157"/>
      <c r="L157"/>
    </row>
    <row r="158" spans="1:12" ht="15">
      <c r="A158" s="8" t="s">
        <v>115</v>
      </c>
      <c r="B158" s="266">
        <f>VLOOKUP(Vlookup!$B117,'CDCM Volume Forecasts'!$A$28:$AL$136,B$143,FALSE)</f>
        <v>0</v>
      </c>
      <c r="C158" s="292"/>
      <c r="D158" s="292"/>
      <c r="E158" s="266">
        <f>VLOOKUP(Vlookup!$B117,'CDCM Volume Forecasts'!$A$28:$AL$136,E$143,FALSE)</f>
        <v>0</v>
      </c>
      <c r="F158" s="292"/>
      <c r="G158" s="292"/>
      <c r="H158" s="292"/>
      <c r="I158" s="7"/>
      <c r="J158"/>
      <c r="K158"/>
      <c r="L158"/>
    </row>
    <row r="159" spans="1:12" ht="15">
      <c r="A159" s="8" t="s">
        <v>116</v>
      </c>
      <c r="B159" s="266">
        <f>VLOOKUP(Vlookup!$B118,'CDCM Volume Forecasts'!$A$28:$AL$136,B$143,FALSE)</f>
        <v>0</v>
      </c>
      <c r="C159" s="292"/>
      <c r="D159" s="292"/>
      <c r="E159" s="266">
        <f>VLOOKUP(Vlookup!$B118,'CDCM Volume Forecasts'!$A$28:$AL$136,E$143,FALSE)</f>
        <v>0</v>
      </c>
      <c r="F159" s="292"/>
      <c r="G159" s="292"/>
      <c r="H159" s="292"/>
      <c r="I159" s="7"/>
      <c r="J159"/>
      <c r="K159"/>
      <c r="L159"/>
    </row>
    <row r="160" spans="1:12" ht="15">
      <c r="A160" s="12" t="s">
        <v>117</v>
      </c>
      <c r="B160" s="290"/>
      <c r="C160" s="290"/>
      <c r="D160" s="290"/>
      <c r="E160" s="290"/>
      <c r="F160" s="290"/>
      <c r="G160" s="290"/>
      <c r="H160" s="290"/>
      <c r="I160" s="7"/>
      <c r="J160"/>
      <c r="K160"/>
      <c r="L160"/>
    </row>
    <row r="161" spans="1:12" ht="15">
      <c r="A161" s="8" t="s">
        <v>56</v>
      </c>
      <c r="B161" s="266">
        <f>VLOOKUP(Vlookup!$B120,'CDCM Volume Forecasts'!$A$28:$AL$136,B$143,FALSE)</f>
        <v>1179331.5292248435</v>
      </c>
      <c r="C161" s="292"/>
      <c r="D161" s="292"/>
      <c r="E161" s="266">
        <f>VLOOKUP(Vlookup!$B120,'CDCM Volume Forecasts'!$A$28:$AL$136,E$143,FALSE)</f>
        <v>110093.23974331518</v>
      </c>
      <c r="F161" s="292"/>
      <c r="G161" s="292"/>
      <c r="H161" s="292"/>
      <c r="I161" s="7"/>
      <c r="J161"/>
      <c r="K161"/>
      <c r="L161"/>
    </row>
    <row r="162" spans="1:12" ht="15">
      <c r="A162" s="8" t="s">
        <v>118</v>
      </c>
      <c r="B162" s="266">
        <f>VLOOKUP(Vlookup!$B121,'CDCM Volume Forecasts'!$A$28:$AL$136,B$143,FALSE)</f>
        <v>788.43675949137935</v>
      </c>
      <c r="C162" s="292"/>
      <c r="D162" s="292"/>
      <c r="E162" s="266">
        <f>VLOOKUP(Vlookup!$B121,'CDCM Volume Forecasts'!$A$28:$AL$136,E$143,FALSE)</f>
        <v>127.831401369863</v>
      </c>
      <c r="F162" s="292"/>
      <c r="G162" s="292"/>
      <c r="H162" s="292"/>
      <c r="I162" s="7"/>
      <c r="J162"/>
      <c r="K162"/>
      <c r="L162"/>
    </row>
    <row r="163" spans="1:12" ht="15">
      <c r="A163" s="8" t="s">
        <v>119</v>
      </c>
      <c r="B163" s="266">
        <f>VLOOKUP(Vlookup!$B122,'CDCM Volume Forecasts'!$A$28:$AL$136,B$143,FALSE)</f>
        <v>7392.7733794913811</v>
      </c>
      <c r="C163" s="292"/>
      <c r="D163" s="292"/>
      <c r="E163" s="266">
        <f>VLOOKUP(Vlookup!$B122,'CDCM Volume Forecasts'!$A$28:$AL$136,E$143,FALSE)</f>
        <v>462.20062191780835</v>
      </c>
      <c r="F163" s="292"/>
      <c r="G163" s="292"/>
      <c r="H163" s="292"/>
      <c r="I163" s="7"/>
      <c r="J163"/>
      <c r="K163"/>
      <c r="L163"/>
    </row>
    <row r="164" spans="1:12" ht="15">
      <c r="A164" s="12" t="s">
        <v>120</v>
      </c>
      <c r="B164" s="290"/>
      <c r="C164" s="290"/>
      <c r="D164" s="290"/>
      <c r="E164" s="290"/>
      <c r="F164" s="290"/>
      <c r="G164" s="290"/>
      <c r="H164" s="290"/>
      <c r="I164" s="7"/>
      <c r="J164"/>
      <c r="K164"/>
      <c r="L164"/>
    </row>
    <row r="165" spans="1:12" ht="15">
      <c r="A165" s="8" t="s">
        <v>57</v>
      </c>
      <c r="B165" s="266">
        <f>VLOOKUP(Vlookup!$B124,'CDCM Volume Forecasts'!$A$28:$AL$136,B$143,FALSE)</f>
        <v>394405.65408074018</v>
      </c>
      <c r="C165" s="266">
        <f>VLOOKUP(Vlookup!$B124,'CDCM Volume Forecasts'!$A$28:$AL$136,C$143,FALSE)</f>
        <v>183263.23104870663</v>
      </c>
      <c r="D165" s="292"/>
      <c r="E165" s="266">
        <f>VLOOKUP(Vlookup!$B124,'CDCM Volume Forecasts'!$A$28:$AL$136,E$143,FALSE)</f>
        <v>29443.268260965255</v>
      </c>
      <c r="F165" s="292"/>
      <c r="G165" s="292"/>
      <c r="H165" s="292"/>
      <c r="I165" s="7"/>
      <c r="J165"/>
      <c r="K165"/>
      <c r="L165"/>
    </row>
    <row r="166" spans="1:12" ht="15">
      <c r="A166" s="8" t="s">
        <v>121</v>
      </c>
      <c r="B166" s="266">
        <f>VLOOKUP(Vlookup!$B125,'CDCM Volume Forecasts'!$A$28:$AL$136,B$143,FALSE)</f>
        <v>41.250505112068964</v>
      </c>
      <c r="C166" s="266">
        <f>VLOOKUP(Vlookup!$B125,'CDCM Volume Forecasts'!$A$28:$AL$136,C$143,FALSE)</f>
        <v>17.318100413793108</v>
      </c>
      <c r="D166" s="292"/>
      <c r="E166" s="266">
        <f>VLOOKUP(Vlookup!$B125,'CDCM Volume Forecasts'!$A$28:$AL$136,E$143,FALSE)</f>
        <v>2.757156164383562</v>
      </c>
      <c r="F166" s="292"/>
      <c r="G166" s="292"/>
      <c r="H166" s="292"/>
      <c r="I166" s="7"/>
      <c r="J166"/>
      <c r="K166"/>
      <c r="L166"/>
    </row>
    <row r="167" spans="1:12" ht="15">
      <c r="A167" s="8" t="s">
        <v>122</v>
      </c>
      <c r="B167" s="266">
        <f>VLOOKUP(Vlookup!$B126,'CDCM Volume Forecasts'!$A$28:$AL$136,B$143,FALSE)</f>
        <v>926.24888312068981</v>
      </c>
      <c r="C167" s="266">
        <f>VLOOKUP(Vlookup!$B126,'CDCM Volume Forecasts'!$A$28:$AL$136,C$143,FALSE)</f>
        <v>260.32896822413795</v>
      </c>
      <c r="D167" s="292"/>
      <c r="E167" s="266">
        <f>VLOOKUP(Vlookup!$B126,'CDCM Volume Forecasts'!$A$28:$AL$136,E$143,FALSE)</f>
        <v>23.554836986301375</v>
      </c>
      <c r="F167" s="292"/>
      <c r="G167" s="292"/>
      <c r="H167" s="292"/>
      <c r="I167" s="7"/>
      <c r="J167"/>
      <c r="K167"/>
      <c r="L167"/>
    </row>
    <row r="168" spans="1:12" ht="15">
      <c r="A168" s="12" t="s">
        <v>123</v>
      </c>
      <c r="B168" s="290"/>
      <c r="C168" s="290"/>
      <c r="D168" s="290"/>
      <c r="E168" s="290"/>
      <c r="F168" s="290"/>
      <c r="G168" s="290"/>
      <c r="H168" s="290"/>
      <c r="I168" s="7"/>
      <c r="J168"/>
      <c r="K168"/>
      <c r="L168"/>
    </row>
    <row r="169" spans="1:12" ht="15">
      <c r="A169" s="8" t="s">
        <v>92</v>
      </c>
      <c r="B169" s="266">
        <f>VLOOKUP(Vlookup!$B128,'CDCM Volume Forecasts'!$A$28:$AL$136,B$143,FALSE)</f>
        <v>17319.819478475714</v>
      </c>
      <c r="C169" s="292"/>
      <c r="D169" s="292"/>
      <c r="E169" s="266">
        <f>VLOOKUP(Vlookup!$B128,'CDCM Volume Forecasts'!$A$28:$AL$136,E$143,FALSE)</f>
        <v>3339</v>
      </c>
      <c r="F169" s="292"/>
      <c r="G169" s="292"/>
      <c r="H169" s="292"/>
      <c r="I169" s="7"/>
      <c r="J169"/>
      <c r="K169"/>
      <c r="L169"/>
    </row>
    <row r="170" spans="1:12" ht="30">
      <c r="A170" s="8" t="s">
        <v>124</v>
      </c>
      <c r="B170" s="266">
        <f>VLOOKUP(Vlookup!$B129,'CDCM Volume Forecasts'!$A$28:$AL$136,B$143,FALSE)</f>
        <v>0</v>
      </c>
      <c r="C170" s="292"/>
      <c r="D170" s="292"/>
      <c r="E170" s="266">
        <f>VLOOKUP(Vlookup!$B129,'CDCM Volume Forecasts'!$A$28:$AL$136,E$143,FALSE)</f>
        <v>0</v>
      </c>
      <c r="F170" s="292"/>
      <c r="G170" s="292"/>
      <c r="H170" s="292"/>
      <c r="I170" s="7"/>
      <c r="J170"/>
      <c r="K170"/>
      <c r="L170"/>
    </row>
    <row r="171" spans="1:12" ht="30">
      <c r="A171" s="8" t="s">
        <v>125</v>
      </c>
      <c r="B171" s="266">
        <f>VLOOKUP(Vlookup!$B130,'CDCM Volume Forecasts'!$A$28:$AL$136,B$143,FALSE)</f>
        <v>0</v>
      </c>
      <c r="C171" s="292"/>
      <c r="D171" s="292"/>
      <c r="E171" s="266">
        <f>VLOOKUP(Vlookup!$B130,'CDCM Volume Forecasts'!$A$28:$AL$136,E$143,FALSE)</f>
        <v>0</v>
      </c>
      <c r="F171" s="292"/>
      <c r="G171" s="292"/>
      <c r="H171" s="292"/>
      <c r="I171" s="7"/>
      <c r="J171"/>
      <c r="K171"/>
      <c r="L171"/>
    </row>
    <row r="172" spans="1:12" ht="15">
      <c r="A172" s="12" t="s">
        <v>126</v>
      </c>
      <c r="B172" s="290"/>
      <c r="C172" s="290"/>
      <c r="D172" s="290"/>
      <c r="E172" s="290"/>
      <c r="F172" s="290"/>
      <c r="G172" s="290"/>
      <c r="H172" s="290"/>
      <c r="I172" s="7"/>
      <c r="J172"/>
      <c r="K172"/>
      <c r="L172"/>
    </row>
    <row r="173" spans="1:12" ht="15">
      <c r="A173" s="8" t="s">
        <v>58</v>
      </c>
      <c r="B173" s="266">
        <f>VLOOKUP(Vlookup!$B132,'CDCM Volume Forecasts'!$A$28:$AL$136,B$143,FALSE)</f>
        <v>8.0133204024159801E-4</v>
      </c>
      <c r="C173" s="266">
        <f>VLOOKUP(Vlookup!$B132,'CDCM Volume Forecasts'!$A$28:$AL$136,C$143,FALSE)</f>
        <v>1.9866795975840209E-4</v>
      </c>
      <c r="D173" s="292"/>
      <c r="E173" s="266">
        <f>VLOOKUP(Vlookup!$B132,'CDCM Volume Forecasts'!$A$28:$AL$136,E$143,FALSE)</f>
        <v>1.1375306250331345E-5</v>
      </c>
      <c r="F173" s="292"/>
      <c r="G173" s="292"/>
      <c r="H173" s="292"/>
      <c r="I173" s="7"/>
      <c r="J173"/>
      <c r="K173"/>
      <c r="L173"/>
    </row>
    <row r="174" spans="1:12" ht="15">
      <c r="A174" s="8" t="s">
        <v>127</v>
      </c>
      <c r="B174" s="266">
        <f>VLOOKUP(Vlookup!$B133,'CDCM Volume Forecasts'!$A$28:$AL$136,B$143,FALSE)</f>
        <v>0</v>
      </c>
      <c r="C174" s="266">
        <f>VLOOKUP(Vlookup!$B133,'CDCM Volume Forecasts'!$A$28:$AL$136,C$143,FALSE)</f>
        <v>0</v>
      </c>
      <c r="D174" s="292"/>
      <c r="E174" s="266">
        <f>VLOOKUP(Vlookup!$B133,'CDCM Volume Forecasts'!$A$28:$AL$136,E$143,FALSE)</f>
        <v>0</v>
      </c>
      <c r="F174" s="292"/>
      <c r="G174" s="292"/>
      <c r="H174" s="292"/>
      <c r="I174" s="7"/>
      <c r="J174"/>
      <c r="K174"/>
      <c r="L174"/>
    </row>
    <row r="175" spans="1:12" ht="15">
      <c r="A175" s="8" t="s">
        <v>128</v>
      </c>
      <c r="B175" s="266">
        <f>VLOOKUP(Vlookup!$B134,'CDCM Volume Forecasts'!$A$28:$AL$136,B$143,FALSE)</f>
        <v>0</v>
      </c>
      <c r="C175" s="266">
        <f>VLOOKUP(Vlookup!$B134,'CDCM Volume Forecasts'!$A$28:$AL$136,C$143,FALSE)</f>
        <v>0</v>
      </c>
      <c r="D175" s="292"/>
      <c r="E175" s="266">
        <f>VLOOKUP(Vlookup!$B134,'CDCM Volume Forecasts'!$A$28:$AL$136,E$143,FALSE)</f>
        <v>0</v>
      </c>
      <c r="F175" s="292"/>
      <c r="G175" s="292"/>
      <c r="H175" s="292"/>
      <c r="I175" s="7"/>
      <c r="J175"/>
      <c r="K175"/>
      <c r="L175"/>
    </row>
    <row r="176" spans="1:12" ht="15">
      <c r="A176" s="12" t="s">
        <v>129</v>
      </c>
      <c r="B176" s="290"/>
      <c r="C176" s="290"/>
      <c r="D176" s="290"/>
      <c r="E176" s="290"/>
      <c r="F176" s="290"/>
      <c r="G176" s="290"/>
      <c r="H176" s="290"/>
      <c r="I176" s="7"/>
      <c r="J176"/>
      <c r="K176"/>
      <c r="L176"/>
    </row>
    <row r="177" spans="1:12" ht="15">
      <c r="A177" s="8" t="s">
        <v>59</v>
      </c>
      <c r="B177" s="266">
        <f>VLOOKUP(Vlookup!$B136,'CDCM Volume Forecasts'!$A$28:$AL$136,B$143,FALSE)</f>
        <v>7.8187632481715845E-4</v>
      </c>
      <c r="C177" s="266">
        <f>VLOOKUP(Vlookup!$B136,'CDCM Volume Forecasts'!$A$28:$AL$136,C$143,FALSE)</f>
        <v>2.1812367518284149E-4</v>
      </c>
      <c r="D177" s="292"/>
      <c r="E177" s="266">
        <f>VLOOKUP(Vlookup!$B136,'CDCM Volume Forecasts'!$A$28:$AL$136,E$143,FALSE)</f>
        <v>8.3651490727006342E-6</v>
      </c>
      <c r="F177" s="292"/>
      <c r="G177" s="292"/>
      <c r="H177" s="292"/>
      <c r="I177" s="7"/>
      <c r="J177"/>
      <c r="K177"/>
      <c r="L177"/>
    </row>
    <row r="178" spans="1:12" ht="15">
      <c r="A178" s="12" t="s">
        <v>130</v>
      </c>
      <c r="B178" s="290"/>
      <c r="C178" s="290"/>
      <c r="D178" s="290"/>
      <c r="E178" s="290"/>
      <c r="F178" s="290"/>
      <c r="G178" s="290"/>
      <c r="H178" s="290"/>
      <c r="I178" s="7"/>
      <c r="J178"/>
      <c r="K178"/>
      <c r="L178"/>
    </row>
    <row r="179" spans="1:12" ht="15">
      <c r="A179" s="8" t="s">
        <v>72</v>
      </c>
      <c r="B179" s="266">
        <f>VLOOKUP(Vlookup!$B138,'CDCM Volume Forecasts'!$A$28:$AL$136,B$143,FALSE)</f>
        <v>7.7902953356325151E-4</v>
      </c>
      <c r="C179" s="266">
        <f>VLOOKUP(Vlookup!$B138,'CDCM Volume Forecasts'!$A$28:$AL$136,C$143,FALSE)</f>
        <v>2.2097046643674843E-4</v>
      </c>
      <c r="D179" s="292"/>
      <c r="E179" s="266">
        <f>VLOOKUP(Vlookup!$B138,'CDCM Volume Forecasts'!$A$28:$AL$136,E$143,FALSE)</f>
        <v>8.8911149421647205E-6</v>
      </c>
      <c r="F179" s="292"/>
      <c r="G179" s="292"/>
      <c r="H179" s="292"/>
      <c r="I179" s="7"/>
      <c r="J179"/>
      <c r="K179"/>
      <c r="L179"/>
    </row>
    <row r="180" spans="1:12" ht="15">
      <c r="A180" s="12" t="s">
        <v>1181</v>
      </c>
      <c r="B180" s="290"/>
      <c r="C180" s="290"/>
      <c r="D180" s="290"/>
      <c r="E180" s="290"/>
      <c r="F180" s="290"/>
      <c r="G180" s="290"/>
      <c r="H180" s="290"/>
      <c r="I180" s="7"/>
      <c r="J180"/>
      <c r="K180"/>
      <c r="L180"/>
    </row>
    <row r="181" spans="1:12" ht="15">
      <c r="A181" s="8" t="s">
        <v>1178</v>
      </c>
      <c r="B181" s="266">
        <f>VLOOKUP(Vlookup!$B140,'CDCM Volume Forecasts'!$A$28:$AL$136,B$143,FALSE)</f>
        <v>2.2038402354910721E-2</v>
      </c>
      <c r="C181" s="266">
        <f>VLOOKUP(Vlookup!$B140,'CDCM Volume Forecasts'!$A$28:$AL$136,C$143,FALSE)</f>
        <v>5.6003186010638299E-2</v>
      </c>
      <c r="D181" s="266">
        <f>VLOOKUP(Vlookup!$B140,'CDCM Volume Forecasts'!$A$28:$AL$136,D$143,FALSE)</f>
        <v>5.28921656517857E-2</v>
      </c>
      <c r="E181" s="266">
        <f>VLOOKUP(Vlookup!$B140,'CDCM Volume Forecasts'!$A$28:$AL$136,E$143,FALSE)</f>
        <v>8.4931506849315067E-2</v>
      </c>
      <c r="F181" s="292"/>
      <c r="G181" s="292"/>
      <c r="H181" s="292"/>
      <c r="I181" s="7"/>
      <c r="J181"/>
      <c r="K181"/>
      <c r="L181"/>
    </row>
    <row r="182" spans="1:12" ht="15">
      <c r="A182" s="8" t="s">
        <v>1175</v>
      </c>
      <c r="B182" s="266">
        <f>VLOOKUP(Vlookup!$B141,'CDCM Volume Forecasts'!$A$28:$AL$136,B$143,FALSE)</f>
        <v>0</v>
      </c>
      <c r="C182" s="266">
        <f>VLOOKUP(Vlookup!$B141,'CDCM Volume Forecasts'!$A$28:$AL$136,C$143,FALSE)</f>
        <v>0</v>
      </c>
      <c r="D182" s="266">
        <f>VLOOKUP(Vlookup!$B141,'CDCM Volume Forecasts'!$A$28:$AL$136,D$143,FALSE)</f>
        <v>0</v>
      </c>
      <c r="E182" s="266">
        <f>VLOOKUP(Vlookup!$B141,'CDCM Volume Forecasts'!$A$28:$AL$136,E$143,FALSE)</f>
        <v>0</v>
      </c>
      <c r="F182" s="292"/>
      <c r="G182" s="292"/>
      <c r="H182" s="292"/>
      <c r="I182" s="7"/>
      <c r="J182"/>
      <c r="K182"/>
      <c r="L182"/>
    </row>
    <row r="183" spans="1:12" ht="15">
      <c r="A183" s="8" t="s">
        <v>1172</v>
      </c>
      <c r="B183" s="266">
        <f>VLOOKUP(Vlookup!$B142,'CDCM Volume Forecasts'!$A$28:$AL$136,B$143,FALSE)</f>
        <v>0</v>
      </c>
      <c r="C183" s="266">
        <f>VLOOKUP(Vlookup!$B142,'CDCM Volume Forecasts'!$A$28:$AL$136,C$143,FALSE)</f>
        <v>0</v>
      </c>
      <c r="D183" s="266">
        <f>VLOOKUP(Vlookup!$B142,'CDCM Volume Forecasts'!$A$28:$AL$136,D$143,FALSE)</f>
        <v>0</v>
      </c>
      <c r="E183" s="266">
        <f>VLOOKUP(Vlookup!$B142,'CDCM Volume Forecasts'!$A$28:$AL$136,E$143,FALSE)</f>
        <v>0</v>
      </c>
      <c r="F183" s="292"/>
      <c r="G183" s="292"/>
      <c r="H183" s="292"/>
      <c r="I183" s="7"/>
      <c r="J183"/>
      <c r="K183"/>
      <c r="L183"/>
    </row>
    <row r="184" spans="1:12" ht="15">
      <c r="A184" s="12" t="s">
        <v>1180</v>
      </c>
      <c r="B184" s="290"/>
      <c r="C184" s="290"/>
      <c r="D184" s="290"/>
      <c r="E184" s="290"/>
      <c r="F184" s="290"/>
      <c r="G184" s="290"/>
      <c r="H184" s="290"/>
      <c r="I184" s="7"/>
      <c r="J184"/>
      <c r="K184"/>
      <c r="L184"/>
    </row>
    <row r="185" spans="1:12" ht="15">
      <c r="A185" s="8" t="s">
        <v>1177</v>
      </c>
      <c r="B185" s="266">
        <f>VLOOKUP(Vlookup!$B144,'CDCM Volume Forecasts'!$A$28:$AL$136,B$143,FALSE)</f>
        <v>26809.776329036184</v>
      </c>
      <c r="C185" s="266">
        <f>VLOOKUP(Vlookup!$B144,'CDCM Volume Forecasts'!$A$28:$AL$136,C$143,FALSE)</f>
        <v>198363.7566935535</v>
      </c>
      <c r="D185" s="266">
        <f>VLOOKUP(Vlookup!$B144,'CDCM Volume Forecasts'!$A$28:$AL$136,D$143,FALSE)</f>
        <v>187790.92736802268</v>
      </c>
      <c r="E185" s="266">
        <f>VLOOKUP(Vlookup!$B144,'CDCM Volume Forecasts'!$A$28:$AL$136,E$143,FALSE)</f>
        <v>6133.3604116966899</v>
      </c>
      <c r="F185" s="292"/>
      <c r="G185" s="292"/>
      <c r="H185" s="292"/>
      <c r="I185" s="7"/>
      <c r="J185"/>
      <c r="K185"/>
      <c r="L185"/>
    </row>
    <row r="186" spans="1:12" ht="15">
      <c r="A186" s="8" t="s">
        <v>1174</v>
      </c>
      <c r="B186" s="266">
        <f>VLOOKUP(Vlookup!$B145,'CDCM Volume Forecasts'!$A$28:$AL$136,B$143,FALSE)</f>
        <v>3.3157410088189661</v>
      </c>
      <c r="C186" s="266">
        <f>VLOOKUP(Vlookup!$B145,'CDCM Volume Forecasts'!$A$28:$AL$136,C$143,FALSE)</f>
        <v>24.610477729189657</v>
      </c>
      <c r="D186" s="266">
        <f>VLOOKUP(Vlookup!$B145,'CDCM Volume Forecasts'!$A$28:$AL$136,D$143,FALSE)</f>
        <v>26.227817446189661</v>
      </c>
      <c r="E186" s="266">
        <f>VLOOKUP(Vlookup!$B145,'CDCM Volume Forecasts'!$A$28:$AL$136,E$143,FALSE)</f>
        <v>1.1300991921225449</v>
      </c>
      <c r="F186" s="292"/>
      <c r="G186" s="292"/>
      <c r="H186" s="292"/>
      <c r="I186" s="7"/>
      <c r="J186"/>
      <c r="K186"/>
      <c r="L186"/>
    </row>
    <row r="187" spans="1:12" ht="15">
      <c r="A187" s="8" t="s">
        <v>1171</v>
      </c>
      <c r="B187" s="266">
        <f>VLOOKUP(Vlookup!$B146,'CDCM Volume Forecasts'!$A$28:$AL$136,B$143,FALSE)</f>
        <v>208.85522710830037</v>
      </c>
      <c r="C187" s="266">
        <f>VLOOKUP(Vlookup!$B146,'CDCM Volume Forecasts'!$A$28:$AL$136,C$143,FALSE)</f>
        <v>1439.9688025914054</v>
      </c>
      <c r="D187" s="266">
        <f>VLOOKUP(Vlookup!$B146,'CDCM Volume Forecasts'!$A$28:$AL$136,D$143,FALSE)</f>
        <v>1182.4128410746812</v>
      </c>
      <c r="E187" s="266">
        <f>VLOOKUP(Vlookup!$B146,'CDCM Volume Forecasts'!$A$28:$AL$136,E$143,FALSE)</f>
        <v>39.906605458800122</v>
      </c>
      <c r="F187" s="292"/>
      <c r="G187" s="292"/>
      <c r="H187" s="292"/>
      <c r="I187" s="7"/>
      <c r="J187"/>
      <c r="K187"/>
      <c r="L187"/>
    </row>
    <row r="188" spans="1:12" ht="15">
      <c r="A188" s="12" t="s">
        <v>131</v>
      </c>
      <c r="B188" s="290"/>
      <c r="C188" s="290"/>
      <c r="D188" s="290"/>
      <c r="E188" s="290"/>
      <c r="F188" s="290"/>
      <c r="G188" s="290"/>
      <c r="H188" s="290"/>
      <c r="I188" s="7"/>
      <c r="J188"/>
      <c r="K188"/>
      <c r="L188"/>
    </row>
    <row r="189" spans="1:12" ht="15">
      <c r="A189" s="8" t="s">
        <v>60</v>
      </c>
      <c r="B189" s="266">
        <f>VLOOKUP(Vlookup!$B148,'CDCM Volume Forecasts'!$A$28:$AL$136,B$143,FALSE)</f>
        <v>86224.938174458686</v>
      </c>
      <c r="C189" s="266">
        <f>VLOOKUP(Vlookup!$B148,'CDCM Volume Forecasts'!$A$28:$AL$136,C$143,FALSE)</f>
        <v>626406.11625046073</v>
      </c>
      <c r="D189" s="266">
        <f>VLOOKUP(Vlookup!$B148,'CDCM Volume Forecasts'!$A$28:$AL$136,D$143,FALSE)</f>
        <v>551384.49934371735</v>
      </c>
      <c r="E189" s="266">
        <f>VLOOKUP(Vlookup!$B148,'CDCM Volume Forecasts'!$A$28:$AL$136,E$143,FALSE)</f>
        <v>6675.4921517207349</v>
      </c>
      <c r="F189" s="266">
        <f>VLOOKUP(Vlookup!$B148,'CDCM Volume Forecasts'!$A$28:$AL$136,F$143,FALSE)</f>
        <v>679119.46093167306</v>
      </c>
      <c r="G189" s="266">
        <f>VLOOKUP(Vlookup!$B148,'CDCM Volume Forecasts'!$A$28:$AL$136,G$143,FALSE)</f>
        <v>12059.509748296468</v>
      </c>
      <c r="H189" s="266">
        <f>VLOOKUP(Vlookup!$B148,'CDCM Volume Forecasts'!$A$28:$AL$136,H$143,FALSE)</f>
        <v>78582.108886907372</v>
      </c>
      <c r="I189" s="7"/>
      <c r="J189"/>
      <c r="K189"/>
      <c r="L189"/>
    </row>
    <row r="190" spans="1:12" ht="15">
      <c r="A190" s="8" t="s">
        <v>132</v>
      </c>
      <c r="B190" s="266">
        <f>VLOOKUP(Vlookup!$B149,'CDCM Volume Forecasts'!$A$28:$AL$136,B$143,FALSE)</f>
        <v>26.670196333111619</v>
      </c>
      <c r="C190" s="266">
        <f>VLOOKUP(Vlookup!$B149,'CDCM Volume Forecasts'!$A$28:$AL$136,C$143,FALSE)</f>
        <v>184.90987519400832</v>
      </c>
      <c r="D190" s="266">
        <f>VLOOKUP(Vlookup!$B149,'CDCM Volume Forecasts'!$A$28:$AL$136,D$143,FALSE)</f>
        <v>189.04909032529565</v>
      </c>
      <c r="E190" s="266">
        <f>VLOOKUP(Vlookup!$B149,'CDCM Volume Forecasts'!$A$28:$AL$136,E$143,FALSE)</f>
        <v>3.6487097119870446</v>
      </c>
      <c r="F190" s="266">
        <f>VLOOKUP(Vlookup!$B149,'CDCM Volume Forecasts'!$A$28:$AL$136,F$143,FALSE)</f>
        <v>385.20564657534248</v>
      </c>
      <c r="G190" s="266">
        <f>VLOOKUP(Vlookup!$B149,'CDCM Volume Forecasts'!$A$28:$AL$136,G$143,FALSE)</f>
        <v>0</v>
      </c>
      <c r="H190" s="266">
        <f>VLOOKUP(Vlookup!$B149,'CDCM Volume Forecasts'!$A$28:$AL$136,H$143,FALSE)</f>
        <v>38.893499255172415</v>
      </c>
      <c r="I190" s="7"/>
      <c r="J190"/>
      <c r="K190"/>
      <c r="L190"/>
    </row>
    <row r="191" spans="1:12" ht="15">
      <c r="A191" s="8" t="s">
        <v>133</v>
      </c>
      <c r="B191" s="266">
        <f>VLOOKUP(Vlookup!$B150,'CDCM Volume Forecasts'!$A$28:$AL$136,B$143,FALSE)</f>
        <v>3033.5166612945895</v>
      </c>
      <c r="C191" s="266">
        <f>VLOOKUP(Vlookup!$B150,'CDCM Volume Forecasts'!$A$28:$AL$136,C$143,FALSE)</f>
        <v>19778.444486303983</v>
      </c>
      <c r="D191" s="266">
        <f>VLOOKUP(Vlookup!$B150,'CDCM Volume Forecasts'!$A$28:$AL$136,D$143,FALSE)</f>
        <v>17104.938488611111</v>
      </c>
      <c r="E191" s="266">
        <f>VLOOKUP(Vlookup!$B150,'CDCM Volume Forecasts'!$A$28:$AL$136,E$143,FALSE)</f>
        <v>102.52944728092592</v>
      </c>
      <c r="F191" s="266">
        <f>VLOOKUP(Vlookup!$B150,'CDCM Volume Forecasts'!$A$28:$AL$136,F$143,FALSE)</f>
        <v>21251.928945205484</v>
      </c>
      <c r="G191" s="266">
        <f>VLOOKUP(Vlookup!$B150,'CDCM Volume Forecasts'!$A$28:$AL$136,G$143,FALSE)</f>
        <v>85.518659589041107</v>
      </c>
      <c r="H191" s="266">
        <f>VLOOKUP(Vlookup!$B150,'CDCM Volume Forecasts'!$A$28:$AL$136,H$143,FALSE)</f>
        <v>1726.2375684206897</v>
      </c>
      <c r="I191" s="7"/>
      <c r="J191"/>
      <c r="K191"/>
      <c r="L191"/>
    </row>
    <row r="192" spans="1:12" ht="15">
      <c r="A192" s="12" t="s">
        <v>134</v>
      </c>
      <c r="B192" s="290"/>
      <c r="C192" s="290"/>
      <c r="D192" s="290"/>
      <c r="E192" s="290"/>
      <c r="F192" s="290"/>
      <c r="G192" s="290"/>
      <c r="H192" s="290"/>
      <c r="I192" s="7"/>
      <c r="J192"/>
      <c r="K192"/>
      <c r="L192"/>
    </row>
    <row r="193" spans="1:12" ht="15">
      <c r="A193" s="8" t="s">
        <v>61</v>
      </c>
      <c r="B193" s="266">
        <f>VLOOKUP(Vlookup!$B152,'CDCM Volume Forecasts'!$A$28:$AL$136,B$143,FALSE)</f>
        <v>49864.368371854573</v>
      </c>
      <c r="C193" s="266">
        <f>VLOOKUP(Vlookup!$B152,'CDCM Volume Forecasts'!$A$28:$AL$136,C$143,FALSE)</f>
        <v>369689.81514963449</v>
      </c>
      <c r="D193" s="266">
        <f>VLOOKUP(Vlookup!$B152,'CDCM Volume Forecasts'!$A$28:$AL$136,D$143,FALSE)</f>
        <v>340515.48335188109</v>
      </c>
      <c r="E193" s="266">
        <f>VLOOKUP(Vlookup!$B152,'CDCM Volume Forecasts'!$A$28:$AL$136,E$143,FALSE)</f>
        <v>1936.9854039786185</v>
      </c>
      <c r="F193" s="266">
        <f>VLOOKUP(Vlookup!$B152,'CDCM Volume Forecasts'!$A$28:$AL$136,F$143,FALSE)</f>
        <v>364556.94204575109</v>
      </c>
      <c r="G193" s="266">
        <f>VLOOKUP(Vlookup!$B152,'CDCM Volume Forecasts'!$A$28:$AL$136,G$143,FALSE)</f>
        <v>5286.8109888675162</v>
      </c>
      <c r="H193" s="266">
        <f>VLOOKUP(Vlookup!$B152,'CDCM Volume Forecasts'!$A$28:$AL$136,H$143,FALSE)</f>
        <v>65191.59809982658</v>
      </c>
      <c r="I193" s="7"/>
      <c r="J193"/>
      <c r="K193"/>
      <c r="L193"/>
    </row>
    <row r="194" spans="1:12" ht="15">
      <c r="A194" s="8" t="s">
        <v>135</v>
      </c>
      <c r="B194" s="266">
        <f>VLOOKUP(Vlookup!$B153,'CDCM Volume Forecasts'!$A$28:$AL$136,B$143,FALSE)</f>
        <v>7.3537928980044374</v>
      </c>
      <c r="C194" s="266">
        <f>VLOOKUP(Vlookup!$B153,'CDCM Volume Forecasts'!$A$28:$AL$136,C$143,FALSE)</f>
        <v>37.820208493355103</v>
      </c>
      <c r="D194" s="266">
        <f>VLOOKUP(Vlookup!$B153,'CDCM Volume Forecasts'!$A$28:$AL$136,D$143,FALSE)</f>
        <v>52.294666737338311</v>
      </c>
      <c r="E194" s="266">
        <f>VLOOKUP(Vlookup!$B153,'CDCM Volume Forecasts'!$A$28:$AL$136,E$143,FALSE)</f>
        <v>1.1758993150684933</v>
      </c>
      <c r="F194" s="266">
        <f>VLOOKUP(Vlookup!$B153,'CDCM Volume Forecasts'!$A$28:$AL$136,F$143,FALSE)</f>
        <v>626.75433493150683</v>
      </c>
      <c r="G194" s="266">
        <f>VLOOKUP(Vlookup!$B153,'CDCM Volume Forecasts'!$A$28:$AL$136,G$143,FALSE)</f>
        <v>0</v>
      </c>
      <c r="H194" s="266">
        <f>VLOOKUP(Vlookup!$B153,'CDCM Volume Forecasts'!$A$28:$AL$136,H$143,FALSE)</f>
        <v>1.4026004999999999</v>
      </c>
      <c r="I194" s="7"/>
      <c r="J194"/>
      <c r="K194"/>
      <c r="L194"/>
    </row>
    <row r="195" spans="1:12" ht="15">
      <c r="A195" s="12" t="s">
        <v>136</v>
      </c>
      <c r="B195" s="290"/>
      <c r="C195" s="290"/>
      <c r="D195" s="290"/>
      <c r="E195" s="290"/>
      <c r="F195" s="290"/>
      <c r="G195" s="290"/>
      <c r="H195" s="290"/>
      <c r="I195" s="7"/>
      <c r="J195"/>
      <c r="K195"/>
      <c r="L195"/>
    </row>
    <row r="196" spans="1:12" ht="15">
      <c r="A196" s="8" t="s">
        <v>73</v>
      </c>
      <c r="B196" s="266">
        <f>VLOOKUP(Vlookup!$B155,'CDCM Volume Forecasts'!$A$28:$AL$136,B$143,FALSE)</f>
        <v>153504.23635739877</v>
      </c>
      <c r="C196" s="266">
        <f>VLOOKUP(Vlookup!$B155,'CDCM Volume Forecasts'!$A$28:$AL$136,C$143,FALSE)</f>
        <v>1093420.3303867856</v>
      </c>
      <c r="D196" s="266">
        <f>VLOOKUP(Vlookup!$B155,'CDCM Volume Forecasts'!$A$28:$AL$136,D$143,FALSE)</f>
        <v>1183755.4135911537</v>
      </c>
      <c r="E196" s="266">
        <f>VLOOKUP(Vlookup!$B155,'CDCM Volume Forecasts'!$A$28:$AL$136,E$143,FALSE)</f>
        <v>1060.270602740768</v>
      </c>
      <c r="F196" s="266">
        <f>VLOOKUP(Vlookup!$B155,'CDCM Volume Forecasts'!$A$28:$AL$136,F$143,FALSE)</f>
        <v>854296.8159186152</v>
      </c>
      <c r="G196" s="266">
        <f>VLOOKUP(Vlookup!$B155,'CDCM Volume Forecasts'!$A$28:$AL$136,G$143,FALSE)</f>
        <v>14165.401246932342</v>
      </c>
      <c r="H196" s="266">
        <f>VLOOKUP(Vlookup!$B155,'CDCM Volume Forecasts'!$A$28:$AL$136,H$143,FALSE)</f>
        <v>163805.20245465485</v>
      </c>
      <c r="I196" s="7"/>
      <c r="J196"/>
      <c r="K196"/>
      <c r="L196"/>
    </row>
    <row r="197" spans="1:12" ht="15">
      <c r="A197" s="8" t="s">
        <v>137</v>
      </c>
      <c r="B197" s="266">
        <f>VLOOKUP(Vlookup!$B156,'CDCM Volume Forecasts'!$A$28:$AL$136,B$143,FALSE)</f>
        <v>835.56520149345931</v>
      </c>
      <c r="C197" s="266">
        <f>VLOOKUP(Vlookup!$B156,'CDCM Volume Forecasts'!$A$28:$AL$136,C$143,FALSE)</f>
        <v>5354.5554566887531</v>
      </c>
      <c r="D197" s="266">
        <f>VLOOKUP(Vlookup!$B156,'CDCM Volume Forecasts'!$A$28:$AL$136,D$143,FALSE)</f>
        <v>7404.6287378891438</v>
      </c>
      <c r="E197" s="266">
        <f>VLOOKUP(Vlookup!$B156,'CDCM Volume Forecasts'!$A$28:$AL$136,E$143,FALSE)</f>
        <v>7.7141773972602756</v>
      </c>
      <c r="F197" s="266">
        <f>VLOOKUP(Vlookup!$B156,'CDCM Volume Forecasts'!$A$28:$AL$136,F$143,FALSE)</f>
        <v>12519.13216438356</v>
      </c>
      <c r="G197" s="266">
        <f>VLOOKUP(Vlookup!$B156,'CDCM Volume Forecasts'!$A$28:$AL$136,G$143,FALSE)</f>
        <v>0</v>
      </c>
      <c r="H197" s="266">
        <f>VLOOKUP(Vlookup!$B156,'CDCM Volume Forecasts'!$A$28:$AL$136,H$143,FALSE)</f>
        <v>256.52510143448279</v>
      </c>
      <c r="I197" s="7"/>
      <c r="J197"/>
      <c r="K197"/>
      <c r="L197"/>
    </row>
    <row r="198" spans="1:12" ht="15">
      <c r="A198" s="12" t="s">
        <v>138</v>
      </c>
      <c r="B198" s="290"/>
      <c r="C198" s="290"/>
      <c r="D198" s="290"/>
      <c r="E198" s="290"/>
      <c r="F198" s="290"/>
      <c r="G198" s="290"/>
      <c r="H198" s="290"/>
      <c r="I198" s="7"/>
      <c r="J198"/>
      <c r="K198"/>
      <c r="L198"/>
    </row>
    <row r="199" spans="1:12" ht="15">
      <c r="A199" s="8" t="s">
        <v>93</v>
      </c>
      <c r="B199" s="266">
        <f>VLOOKUP(Vlookup!$B158,'CDCM Volume Forecasts'!$A$28:$AL$136,B$143,FALSE)</f>
        <v>10121.811870412395</v>
      </c>
      <c r="C199" s="292"/>
      <c r="D199" s="292"/>
      <c r="E199" s="266">
        <f>VLOOKUP(Vlookup!$B158,'CDCM Volume Forecasts'!$A$28:$AL$136,E$143,FALSE)</f>
        <v>741</v>
      </c>
      <c r="F199" s="292"/>
      <c r="G199" s="292"/>
      <c r="H199" s="292"/>
      <c r="I199" s="7"/>
      <c r="J199"/>
      <c r="K199"/>
      <c r="L199"/>
    </row>
    <row r="200" spans="1:12" ht="15">
      <c r="A200" s="8" t="s">
        <v>139</v>
      </c>
      <c r="B200" s="266">
        <f>VLOOKUP(Vlookup!$B159,'CDCM Volume Forecasts'!$A$28:$AL$136,B$143,FALSE)</f>
        <v>136.7981201637931</v>
      </c>
      <c r="C200" s="292"/>
      <c r="D200" s="292"/>
      <c r="E200" s="266">
        <f>VLOOKUP(Vlookup!$B159,'CDCM Volume Forecasts'!$A$28:$AL$136,E$143,FALSE)</f>
        <v>0</v>
      </c>
      <c r="F200" s="292"/>
      <c r="G200" s="292"/>
      <c r="H200" s="292"/>
      <c r="I200" s="7"/>
      <c r="J200"/>
      <c r="K200"/>
      <c r="L200"/>
    </row>
    <row r="201" spans="1:12" ht="15">
      <c r="A201" s="8" t="s">
        <v>140</v>
      </c>
      <c r="B201" s="266">
        <f>VLOOKUP(Vlookup!$B160,'CDCM Volume Forecasts'!$A$28:$AL$136,B$143,FALSE)</f>
        <v>23.736825</v>
      </c>
      <c r="C201" s="292"/>
      <c r="D201" s="292"/>
      <c r="E201" s="266">
        <f>VLOOKUP(Vlookup!$B160,'CDCM Volume Forecasts'!$A$28:$AL$136,E$143,FALSE)</f>
        <v>0</v>
      </c>
      <c r="F201" s="292"/>
      <c r="G201" s="292"/>
      <c r="H201" s="292"/>
      <c r="I201" s="7"/>
      <c r="J201"/>
      <c r="K201"/>
      <c r="L201"/>
    </row>
    <row r="202" spans="1:12" ht="15">
      <c r="A202" s="12" t="s">
        <v>141</v>
      </c>
      <c r="B202" s="290"/>
      <c r="C202" s="290"/>
      <c r="D202" s="290"/>
      <c r="E202" s="290"/>
      <c r="F202" s="290"/>
      <c r="G202" s="290"/>
      <c r="H202" s="290"/>
      <c r="I202" s="7"/>
      <c r="J202"/>
      <c r="K202"/>
      <c r="L202"/>
    </row>
    <row r="203" spans="1:12" ht="15">
      <c r="A203" s="8" t="s">
        <v>94</v>
      </c>
      <c r="B203" s="266">
        <f>VLOOKUP(Vlookup!$B162,'CDCM Volume Forecasts'!$A$28:$AL$136,B$143,FALSE)</f>
        <v>7712.9716131438981</v>
      </c>
      <c r="C203" s="292"/>
      <c r="D203" s="292"/>
      <c r="E203" s="266">
        <f>VLOOKUP(Vlookup!$B162,'CDCM Volume Forecasts'!$A$28:$AL$136,E$143,FALSE)</f>
        <v>689</v>
      </c>
      <c r="F203" s="292"/>
      <c r="G203" s="292"/>
      <c r="H203" s="292"/>
      <c r="I203" s="7"/>
      <c r="J203"/>
      <c r="K203"/>
      <c r="L203"/>
    </row>
    <row r="204" spans="1:12" ht="15">
      <c r="A204" s="8" t="s">
        <v>142</v>
      </c>
      <c r="B204" s="266">
        <f>VLOOKUP(Vlookup!$B163,'CDCM Volume Forecasts'!$A$28:$AL$136,B$143,FALSE)</f>
        <v>75.667019508620697</v>
      </c>
      <c r="C204" s="292"/>
      <c r="D204" s="292"/>
      <c r="E204" s="266">
        <f>VLOOKUP(Vlookup!$B163,'CDCM Volume Forecasts'!$A$28:$AL$136,E$143,FALSE)</f>
        <v>0</v>
      </c>
      <c r="F204" s="292"/>
      <c r="G204" s="292"/>
      <c r="H204" s="292"/>
      <c r="I204" s="7"/>
      <c r="J204"/>
      <c r="K204"/>
      <c r="L204"/>
    </row>
    <row r="205" spans="1:12" ht="15">
      <c r="A205" s="8" t="s">
        <v>143</v>
      </c>
      <c r="B205" s="266">
        <f>VLOOKUP(Vlookup!$B164,'CDCM Volume Forecasts'!$A$28:$AL$136,B$143,FALSE)</f>
        <v>301.33748599137931</v>
      </c>
      <c r="C205" s="292"/>
      <c r="D205" s="292"/>
      <c r="E205" s="266">
        <f>VLOOKUP(Vlookup!$B164,'CDCM Volume Forecasts'!$A$28:$AL$136,E$143,FALSE)</f>
        <v>0</v>
      </c>
      <c r="F205" s="292"/>
      <c r="G205" s="292"/>
      <c r="H205" s="292"/>
      <c r="I205" s="7"/>
      <c r="J205"/>
      <c r="K205"/>
      <c r="L205"/>
    </row>
    <row r="206" spans="1:12" ht="15">
      <c r="A206" s="12" t="s">
        <v>144</v>
      </c>
      <c r="B206" s="290"/>
      <c r="C206" s="290"/>
      <c r="D206" s="290"/>
      <c r="E206" s="290"/>
      <c r="F206" s="290"/>
      <c r="G206" s="290"/>
      <c r="H206" s="290"/>
      <c r="I206" s="7"/>
      <c r="J206"/>
      <c r="K206"/>
      <c r="L206"/>
    </row>
    <row r="207" spans="1:12" ht="15">
      <c r="A207" s="8" t="s">
        <v>95</v>
      </c>
      <c r="B207" s="266">
        <f>VLOOKUP(Vlookup!$B166,'CDCM Volume Forecasts'!$A$28:$AL$136,B$143,FALSE)</f>
        <v>989.1872895940935</v>
      </c>
      <c r="C207" s="292"/>
      <c r="D207" s="292"/>
      <c r="E207" s="266">
        <f>VLOOKUP(Vlookup!$B166,'CDCM Volume Forecasts'!$A$28:$AL$136,E$143,FALSE)</f>
        <v>179</v>
      </c>
      <c r="F207" s="292"/>
      <c r="G207" s="292"/>
      <c r="H207" s="292"/>
      <c r="I207" s="7"/>
      <c r="J207"/>
      <c r="K207"/>
      <c r="L207"/>
    </row>
    <row r="208" spans="1:12" ht="15">
      <c r="A208" s="8" t="s">
        <v>145</v>
      </c>
      <c r="B208" s="266">
        <f>VLOOKUP(Vlookup!$B167,'CDCM Volume Forecasts'!$A$28:$AL$136,B$143,FALSE)</f>
        <v>5.1353499568965537</v>
      </c>
      <c r="C208" s="292"/>
      <c r="D208" s="292"/>
      <c r="E208" s="266">
        <f>VLOOKUP(Vlookup!$B167,'CDCM Volume Forecasts'!$A$28:$AL$136,E$143,FALSE)</f>
        <v>0</v>
      </c>
      <c r="F208" s="292"/>
      <c r="G208" s="292"/>
      <c r="H208" s="292"/>
      <c r="I208" s="7"/>
      <c r="J208"/>
      <c r="K208"/>
      <c r="L208"/>
    </row>
    <row r="209" spans="1:12" ht="15">
      <c r="A209" s="8" t="s">
        <v>146</v>
      </c>
      <c r="B209" s="266">
        <f>VLOOKUP(Vlookup!$B168,'CDCM Volume Forecasts'!$A$28:$AL$136,B$143,FALSE)</f>
        <v>2.9883946810344835</v>
      </c>
      <c r="C209" s="292"/>
      <c r="D209" s="292"/>
      <c r="E209" s="266">
        <f>VLOOKUP(Vlookup!$B168,'CDCM Volume Forecasts'!$A$28:$AL$136,E$143,FALSE)</f>
        <v>0</v>
      </c>
      <c r="F209" s="292"/>
      <c r="G209" s="292"/>
      <c r="H209" s="292"/>
      <c r="I209" s="7"/>
      <c r="J209"/>
      <c r="K209"/>
      <c r="L209"/>
    </row>
    <row r="210" spans="1:12" ht="15">
      <c r="A210" s="12" t="s">
        <v>147</v>
      </c>
      <c r="B210" s="290"/>
      <c r="C210" s="290"/>
      <c r="D210" s="290"/>
      <c r="E210" s="290"/>
      <c r="F210" s="290"/>
      <c r="G210" s="290"/>
      <c r="H210" s="290"/>
      <c r="I210" s="7"/>
      <c r="J210"/>
      <c r="K210"/>
      <c r="L210"/>
    </row>
    <row r="211" spans="1:12" ht="15">
      <c r="A211" s="8" t="s">
        <v>96</v>
      </c>
      <c r="B211" s="266">
        <f>VLOOKUP(Vlookup!$B170,'CDCM Volume Forecasts'!$A$28:$AL$136,B$143,FALSE)</f>
        <v>0</v>
      </c>
      <c r="C211" s="292"/>
      <c r="D211" s="292"/>
      <c r="E211" s="266">
        <f>VLOOKUP(Vlookup!$B170,'CDCM Volume Forecasts'!$A$28:$AL$136,E$143,FALSE)</f>
        <v>1</v>
      </c>
      <c r="F211" s="292"/>
      <c r="G211" s="292"/>
      <c r="H211" s="292"/>
      <c r="I211" s="7"/>
      <c r="J211"/>
      <c r="K211"/>
      <c r="L211"/>
    </row>
    <row r="212" spans="1:12" ht="15">
      <c r="A212" s="8" t="s">
        <v>148</v>
      </c>
      <c r="B212" s="266">
        <f>VLOOKUP(Vlookup!$B171,'CDCM Volume Forecasts'!$A$28:$AL$136,B$143,FALSE)</f>
        <v>0</v>
      </c>
      <c r="C212" s="292"/>
      <c r="D212" s="292"/>
      <c r="E212" s="266">
        <f>VLOOKUP(Vlookup!$B171,'CDCM Volume Forecasts'!$A$28:$AL$136,E$143,FALSE)</f>
        <v>0</v>
      </c>
      <c r="F212" s="292"/>
      <c r="G212" s="292"/>
      <c r="H212" s="292"/>
      <c r="I212" s="7"/>
      <c r="J212"/>
      <c r="K212"/>
      <c r="L212"/>
    </row>
    <row r="213" spans="1:12" ht="15">
      <c r="A213" s="8" t="s">
        <v>149</v>
      </c>
      <c r="B213" s="266">
        <f>VLOOKUP(Vlookup!$B172,'CDCM Volume Forecasts'!$A$28:$AL$136,B$143,FALSE)</f>
        <v>0</v>
      </c>
      <c r="C213" s="292"/>
      <c r="D213" s="292"/>
      <c r="E213" s="266">
        <f>VLOOKUP(Vlookup!$B172,'CDCM Volume Forecasts'!$A$28:$AL$136,E$143,FALSE)</f>
        <v>0</v>
      </c>
      <c r="F213" s="292"/>
      <c r="G213" s="292"/>
      <c r="H213" s="292"/>
      <c r="I213" s="7"/>
      <c r="J213"/>
      <c r="K213"/>
      <c r="L213"/>
    </row>
    <row r="214" spans="1:12" ht="15">
      <c r="A214" s="12" t="s">
        <v>150</v>
      </c>
      <c r="B214" s="290"/>
      <c r="C214" s="290"/>
      <c r="D214" s="290"/>
      <c r="E214" s="290"/>
      <c r="F214" s="290"/>
      <c r="G214" s="290"/>
      <c r="H214" s="290"/>
      <c r="I214" s="7"/>
      <c r="J214"/>
      <c r="K214"/>
      <c r="L214"/>
    </row>
    <row r="215" spans="1:12" ht="15">
      <c r="A215" s="8" t="s">
        <v>97</v>
      </c>
      <c r="B215" s="266">
        <f>VLOOKUP(Vlookup!$B174,'CDCM Volume Forecasts'!$A$28:$AL$136,B$143,FALSE)</f>
        <v>4105.9859496450399</v>
      </c>
      <c r="C215" s="266">
        <f>VLOOKUP(Vlookup!$B174,'CDCM Volume Forecasts'!$A$28:$AL$136,C$143,FALSE)</f>
        <v>29544.034960210251</v>
      </c>
      <c r="D215" s="266">
        <f>VLOOKUP(Vlookup!$B174,'CDCM Volume Forecasts'!$A$28:$AL$136,D$143,FALSE)</f>
        <v>79785.804627936566</v>
      </c>
      <c r="E215" s="266">
        <f>VLOOKUP(Vlookup!$B174,'CDCM Volume Forecasts'!$A$28:$AL$136,E$143,FALSE)</f>
        <v>27.444162911866147</v>
      </c>
      <c r="F215" s="292"/>
      <c r="G215" s="292"/>
      <c r="H215" s="292"/>
      <c r="I215" s="7"/>
      <c r="J215"/>
      <c r="K215"/>
      <c r="L215"/>
    </row>
    <row r="216" spans="1:12" ht="15">
      <c r="A216" s="8" t="s">
        <v>151</v>
      </c>
      <c r="B216" s="266">
        <f>VLOOKUP(Vlookup!$B175,'CDCM Volume Forecasts'!$A$28:$AL$136,B$143,FALSE)</f>
        <v>0</v>
      </c>
      <c r="C216" s="266">
        <f>VLOOKUP(Vlookup!$B175,'CDCM Volume Forecasts'!$A$28:$AL$136,C$143,FALSE)</f>
        <v>0</v>
      </c>
      <c r="D216" s="266">
        <f>VLOOKUP(Vlookup!$B175,'CDCM Volume Forecasts'!$A$28:$AL$136,D$143,FALSE)</f>
        <v>0</v>
      </c>
      <c r="E216" s="266">
        <f>VLOOKUP(Vlookup!$B175,'CDCM Volume Forecasts'!$A$28:$AL$136,E$143,FALSE)</f>
        <v>0</v>
      </c>
      <c r="F216" s="292"/>
      <c r="G216" s="292"/>
      <c r="H216" s="292"/>
      <c r="I216" s="7"/>
      <c r="J216"/>
      <c r="K216"/>
      <c r="L216"/>
    </row>
    <row r="217" spans="1:12" ht="15">
      <c r="A217" s="8" t="s">
        <v>152</v>
      </c>
      <c r="B217" s="266">
        <f>VLOOKUP(Vlookup!$B176,'CDCM Volume Forecasts'!$A$28:$AL$136,B$143,FALSE)</f>
        <v>1.582648648170732</v>
      </c>
      <c r="C217" s="266">
        <f>VLOOKUP(Vlookup!$B176,'CDCM Volume Forecasts'!$A$28:$AL$136,C$143,FALSE)</f>
        <v>5.703542262359643</v>
      </c>
      <c r="D217" s="266">
        <f>VLOOKUP(Vlookup!$B176,'CDCM Volume Forecasts'!$A$28:$AL$136,D$143,FALSE)</f>
        <v>35.255484612621792</v>
      </c>
      <c r="E217" s="266">
        <f>VLOOKUP(Vlookup!$B176,'CDCM Volume Forecasts'!$A$28:$AL$136,E$143,FALSE)</f>
        <v>1.1758993150684933</v>
      </c>
      <c r="F217" s="292"/>
      <c r="G217" s="292"/>
      <c r="H217" s="292"/>
      <c r="I217" s="7"/>
      <c r="J217"/>
      <c r="K217"/>
      <c r="L217"/>
    </row>
    <row r="218" spans="1:12" ht="15">
      <c r="A218" s="288" t="s">
        <v>1179</v>
      </c>
      <c r="B218" s="290"/>
      <c r="C218" s="290"/>
      <c r="D218" s="290"/>
      <c r="E218" s="290"/>
      <c r="F218" s="290"/>
      <c r="G218" s="290"/>
      <c r="H218" s="290"/>
      <c r="I218" s="7"/>
      <c r="J218"/>
      <c r="K218"/>
      <c r="L218"/>
    </row>
    <row r="219" spans="1:12" ht="15">
      <c r="A219" s="285" t="s">
        <v>1176</v>
      </c>
      <c r="B219" s="266">
        <f>VLOOKUP(Vlookup!$B178,'CDCM Volume Forecasts'!$A$28:$AL$136,B$143,FALSE)</f>
        <v>3214.7578266896548</v>
      </c>
      <c r="C219" s="292"/>
      <c r="D219" s="292"/>
      <c r="E219" s="266">
        <f>VLOOKUP(Vlookup!$B178,'CDCM Volume Forecasts'!$A$28:$AL$136,E$143,FALSE)</f>
        <v>286</v>
      </c>
      <c r="F219" s="292"/>
      <c r="G219" s="292"/>
      <c r="H219" s="292"/>
      <c r="I219" s="7"/>
      <c r="J219"/>
      <c r="K219"/>
      <c r="L219"/>
    </row>
    <row r="220" spans="1:12" ht="15">
      <c r="A220" s="285" t="s">
        <v>1173</v>
      </c>
      <c r="B220" s="266">
        <f>VLOOKUP(Vlookup!$B179,'CDCM Volume Forecasts'!$A$28:$AL$136,B$143,FALSE)</f>
        <v>132.89592165517243</v>
      </c>
      <c r="C220" s="292"/>
      <c r="D220" s="292"/>
      <c r="E220" s="266">
        <f>VLOOKUP(Vlookup!$B179,'CDCM Volume Forecasts'!$A$28:$AL$136,E$143,FALSE)</f>
        <v>0</v>
      </c>
      <c r="F220" s="292"/>
      <c r="G220" s="292"/>
      <c r="H220" s="292"/>
      <c r="I220" s="7"/>
      <c r="J220"/>
      <c r="K220"/>
      <c r="L220"/>
    </row>
    <row r="221" spans="1:12" ht="15">
      <c r="A221" s="285" t="s">
        <v>1170</v>
      </c>
      <c r="B221" s="266">
        <f>VLOOKUP(Vlookup!$B180,'CDCM Volume Forecasts'!$A$28:$AL$136,B$143,FALSE)</f>
        <v>0</v>
      </c>
      <c r="C221" s="292"/>
      <c r="D221" s="292"/>
      <c r="E221" s="266">
        <f>VLOOKUP(Vlookup!$B180,'CDCM Volume Forecasts'!$A$28:$AL$136,E$143,FALSE)</f>
        <v>0</v>
      </c>
      <c r="F221" s="292"/>
      <c r="G221" s="292"/>
      <c r="H221" s="292"/>
      <c r="I221" s="7"/>
      <c r="J221"/>
      <c r="K221"/>
      <c r="L221"/>
    </row>
    <row r="222" spans="1:12" ht="15">
      <c r="A222" s="288" t="s">
        <v>153</v>
      </c>
      <c r="B222" s="290"/>
      <c r="C222" s="290"/>
      <c r="D222" s="290"/>
      <c r="E222" s="290"/>
      <c r="F222" s="290"/>
      <c r="G222" s="290"/>
      <c r="H222" s="290"/>
      <c r="I222" s="7"/>
      <c r="J222"/>
      <c r="K222"/>
      <c r="L222"/>
    </row>
    <row r="223" spans="1:12" ht="15">
      <c r="A223" s="285" t="s">
        <v>62</v>
      </c>
      <c r="B223" s="266">
        <f>VLOOKUP(Vlookup!$B182,'CDCM Volume Forecasts'!$A$28:$AL$136,B$143,FALSE)</f>
        <v>92.074856879310332</v>
      </c>
      <c r="C223" s="292"/>
      <c r="D223" s="292"/>
      <c r="E223" s="266">
        <f>VLOOKUP(Vlookup!$B182,'CDCM Volume Forecasts'!$A$28:$AL$136,E$143,FALSE)</f>
        <v>1</v>
      </c>
      <c r="F223" s="292"/>
      <c r="G223" s="292"/>
      <c r="H223" s="292"/>
      <c r="I223" s="7"/>
      <c r="J223"/>
      <c r="K223"/>
      <c r="L223"/>
    </row>
    <row r="224" spans="1:12" ht="15">
      <c r="A224" s="285" t="s">
        <v>154</v>
      </c>
      <c r="B224" s="266">
        <f>VLOOKUP(Vlookup!$B183,'CDCM Volume Forecasts'!$A$28:$AL$136,B$143,FALSE)</f>
        <v>0</v>
      </c>
      <c r="C224" s="292"/>
      <c r="D224" s="292"/>
      <c r="E224" s="266">
        <f>VLOOKUP(Vlookup!$B183,'CDCM Volume Forecasts'!$A$28:$AL$136,E$143,FALSE)</f>
        <v>0</v>
      </c>
      <c r="F224" s="292"/>
      <c r="G224" s="292"/>
      <c r="H224" s="292"/>
      <c r="I224" s="7"/>
      <c r="J224"/>
      <c r="K224"/>
      <c r="L224"/>
    </row>
    <row r="225" spans="1:12" ht="15">
      <c r="A225" s="288" t="s">
        <v>155</v>
      </c>
      <c r="B225" s="290"/>
      <c r="C225" s="290"/>
      <c r="D225" s="290"/>
      <c r="E225" s="290"/>
      <c r="F225" s="290"/>
      <c r="G225" s="290"/>
      <c r="H225" s="290"/>
      <c r="I225" s="7"/>
      <c r="J225"/>
      <c r="K225"/>
      <c r="L225"/>
    </row>
    <row r="226" spans="1:12" ht="15">
      <c r="A226" s="285" t="s">
        <v>63</v>
      </c>
      <c r="B226" s="266">
        <f>VLOOKUP(Vlookup!$B185,'CDCM Volume Forecasts'!$A$28:$AL$136,B$143,FALSE)</f>
        <v>78529.095040948305</v>
      </c>
      <c r="C226" s="292"/>
      <c r="D226" s="292"/>
      <c r="E226" s="266">
        <f>VLOOKUP(Vlookup!$B185,'CDCM Volume Forecasts'!$A$28:$AL$136,E$143,FALSE)</f>
        <v>887.02632534246584</v>
      </c>
      <c r="F226" s="292"/>
      <c r="G226" s="292"/>
      <c r="H226" s="266">
        <f>VLOOKUP(Vlookup!$B185,'CDCM Volume Forecasts'!$A$28:$AL$136,H$143,FALSE)</f>
        <v>6221.8592215431045</v>
      </c>
      <c r="I226" s="7"/>
      <c r="J226"/>
      <c r="K226"/>
      <c r="L226"/>
    </row>
    <row r="227" spans="1:12" ht="15">
      <c r="A227" s="285" t="s">
        <v>156</v>
      </c>
      <c r="B227" s="266">
        <f>VLOOKUP(Vlookup!$B186,'CDCM Volume Forecasts'!$A$28:$AL$136,B$143,FALSE)</f>
        <v>0</v>
      </c>
      <c r="C227" s="292"/>
      <c r="D227" s="292"/>
      <c r="E227" s="266">
        <f>VLOOKUP(Vlookup!$B186,'CDCM Volume Forecasts'!$A$28:$AL$136,E$143,FALSE)</f>
        <v>0</v>
      </c>
      <c r="F227" s="292"/>
      <c r="G227" s="292"/>
      <c r="H227" s="266">
        <f>VLOOKUP(Vlookup!$B186,'CDCM Volume Forecasts'!$A$28:$AL$136,H$143,FALSE)</f>
        <v>0</v>
      </c>
      <c r="I227" s="7"/>
      <c r="J227"/>
      <c r="K227"/>
      <c r="L227"/>
    </row>
    <row r="228" spans="1:12" ht="15">
      <c r="A228" s="285" t="s">
        <v>157</v>
      </c>
      <c r="B228" s="266">
        <f>VLOOKUP(Vlookup!$B187,'CDCM Volume Forecasts'!$A$28:$AL$136,B$143,FALSE)</f>
        <v>1158.4981509517236</v>
      </c>
      <c r="C228" s="292"/>
      <c r="D228" s="292"/>
      <c r="E228" s="266">
        <f>VLOOKUP(Vlookup!$B187,'CDCM Volume Forecasts'!$A$28:$AL$136,E$143,FALSE)</f>
        <v>3.2634739726027386</v>
      </c>
      <c r="F228" s="292"/>
      <c r="G228" s="292"/>
      <c r="H228" s="266">
        <f>VLOOKUP(Vlookup!$B187,'CDCM Volume Forecasts'!$A$28:$AL$136,H$143,FALSE)</f>
        <v>14.619248242758623</v>
      </c>
      <c r="I228" s="7"/>
      <c r="J228"/>
      <c r="K228"/>
      <c r="L228"/>
    </row>
    <row r="229" spans="1:12" ht="15">
      <c r="A229" s="288" t="s">
        <v>1559</v>
      </c>
      <c r="B229" s="290"/>
      <c r="C229" s="290"/>
      <c r="D229" s="290"/>
      <c r="E229" s="290"/>
      <c r="F229" s="290"/>
      <c r="G229" s="290"/>
      <c r="H229" s="290"/>
      <c r="I229" s="7"/>
      <c r="J229"/>
      <c r="K229"/>
      <c r="L229"/>
    </row>
    <row r="230" spans="1:12" ht="15">
      <c r="A230" s="285" t="s">
        <v>1516</v>
      </c>
      <c r="B230" s="266">
        <f>VLOOKUP(Vlookup!$B189,'CDCM Volume Forecasts'!$A$28:$AL$136,B$143,FALSE)</f>
        <v>0</v>
      </c>
      <c r="C230" s="292"/>
      <c r="D230" s="292"/>
      <c r="E230" s="266">
        <f>VLOOKUP(Vlookup!$B189,'CDCM Volume Forecasts'!$A$28:$AL$136,E$143,FALSE)</f>
        <v>0</v>
      </c>
      <c r="F230" s="292"/>
      <c r="G230" s="292"/>
      <c r="H230" s="292"/>
      <c r="I230" s="7"/>
      <c r="J230"/>
      <c r="K230"/>
      <c r="L230"/>
    </row>
    <row r="231" spans="1:12" ht="15">
      <c r="A231" s="288" t="s">
        <v>158</v>
      </c>
      <c r="B231" s="290"/>
      <c r="C231" s="290"/>
      <c r="D231" s="290"/>
      <c r="E231" s="290"/>
      <c r="F231" s="290"/>
      <c r="G231" s="290"/>
      <c r="H231" s="290"/>
      <c r="I231" s="7"/>
      <c r="J231"/>
      <c r="K231"/>
      <c r="L231"/>
    </row>
    <row r="232" spans="1:12" ht="15">
      <c r="A232" s="285" t="s">
        <v>64</v>
      </c>
      <c r="B232" s="266">
        <f>VLOOKUP(Vlookup!$B191,'CDCM Volume Forecasts'!$A$28:$AL$136,B$143,FALSE)</f>
        <v>150.22435028789201</v>
      </c>
      <c r="C232" s="266">
        <f>VLOOKUP(Vlookup!$B191,'CDCM Volume Forecasts'!$A$28:$AL$136,C$143,FALSE)</f>
        <v>933.01718610068747</v>
      </c>
      <c r="D232" s="266">
        <f>VLOOKUP(Vlookup!$B191,'CDCM Volume Forecasts'!$A$28:$AL$136,D$143,FALSE)</f>
        <v>1215.9778554005959</v>
      </c>
      <c r="E232" s="266">
        <f>VLOOKUP(Vlookup!$B191,'CDCM Volume Forecasts'!$A$28:$AL$136,E$143,FALSE)</f>
        <v>16.428914383561644</v>
      </c>
      <c r="F232" s="292"/>
      <c r="G232" s="292"/>
      <c r="H232" s="266">
        <f>VLOOKUP(Vlookup!$B191,'CDCM Volume Forecasts'!$A$28:$AL$136,H$143,FALSE)</f>
        <v>631.56368132758632</v>
      </c>
      <c r="I232" s="7"/>
      <c r="J232"/>
      <c r="K232"/>
      <c r="L232"/>
    </row>
    <row r="233" spans="1:12" ht="15">
      <c r="A233" s="285" t="s">
        <v>159</v>
      </c>
      <c r="B233" s="266">
        <f>VLOOKUP(Vlookup!$B192,'CDCM Volume Forecasts'!$A$28:$AL$136,B$143,FALSE)</f>
        <v>0</v>
      </c>
      <c r="C233" s="266">
        <f>VLOOKUP(Vlookup!$B192,'CDCM Volume Forecasts'!$A$28:$AL$136,C$143,FALSE)</f>
        <v>0</v>
      </c>
      <c r="D233" s="266">
        <f>VLOOKUP(Vlookup!$B192,'CDCM Volume Forecasts'!$A$28:$AL$136,D$143,FALSE)</f>
        <v>0</v>
      </c>
      <c r="E233" s="266">
        <f>VLOOKUP(Vlookup!$B192,'CDCM Volume Forecasts'!$A$28:$AL$136,E$143,FALSE)</f>
        <v>0</v>
      </c>
      <c r="F233" s="292"/>
      <c r="G233" s="292"/>
      <c r="H233" s="266">
        <f>VLOOKUP(Vlookup!$B192,'CDCM Volume Forecasts'!$A$28:$AL$136,H$143,FALSE)</f>
        <v>0</v>
      </c>
      <c r="I233" s="7"/>
      <c r="J233"/>
      <c r="K233"/>
      <c r="L233"/>
    </row>
    <row r="234" spans="1:12" ht="15">
      <c r="A234" s="285" t="s">
        <v>160</v>
      </c>
      <c r="B234" s="266">
        <f>VLOOKUP(Vlookup!$B193,'CDCM Volume Forecasts'!$A$28:$AL$136,B$143,FALSE)</f>
        <v>0</v>
      </c>
      <c r="C234" s="266">
        <f>VLOOKUP(Vlookup!$B193,'CDCM Volume Forecasts'!$A$28:$AL$136,C$143,FALSE)</f>
        <v>0</v>
      </c>
      <c r="D234" s="266">
        <f>VLOOKUP(Vlookup!$B193,'CDCM Volume Forecasts'!$A$28:$AL$136,D$143,FALSE)</f>
        <v>0</v>
      </c>
      <c r="E234" s="266">
        <f>VLOOKUP(Vlookup!$B193,'CDCM Volume Forecasts'!$A$28:$AL$136,E$143,FALSE)</f>
        <v>0</v>
      </c>
      <c r="F234" s="292"/>
      <c r="G234" s="292"/>
      <c r="H234" s="266">
        <f>VLOOKUP(Vlookup!$B193,'CDCM Volume Forecasts'!$A$28:$AL$136,H$143,FALSE)</f>
        <v>0</v>
      </c>
      <c r="I234" s="7"/>
      <c r="J234"/>
      <c r="K234"/>
      <c r="L234"/>
    </row>
    <row r="235" spans="1:12" ht="15">
      <c r="A235" s="288" t="s">
        <v>1560</v>
      </c>
      <c r="B235" s="290"/>
      <c r="C235" s="290"/>
      <c r="D235" s="290"/>
      <c r="E235" s="290"/>
      <c r="F235" s="290"/>
      <c r="G235" s="290"/>
      <c r="H235" s="290"/>
      <c r="I235" s="7"/>
      <c r="J235"/>
      <c r="K235"/>
      <c r="L235"/>
    </row>
    <row r="236" spans="1:12" ht="15">
      <c r="A236" s="285" t="s">
        <v>1517</v>
      </c>
      <c r="B236" s="266">
        <f>VLOOKUP(Vlookup!$B195,'CDCM Volume Forecasts'!$A$28:$AL$136,B$143,FALSE)</f>
        <v>0</v>
      </c>
      <c r="C236" s="266">
        <f>VLOOKUP(Vlookup!$B195,'CDCM Volume Forecasts'!$A$28:$AL$136,C$143,FALSE)</f>
        <v>0</v>
      </c>
      <c r="D236" s="266">
        <f>VLOOKUP(Vlookup!$B195,'CDCM Volume Forecasts'!$A$28:$AL$136,D$143,FALSE)</f>
        <v>0</v>
      </c>
      <c r="E236" s="266">
        <f>VLOOKUP(Vlookup!$B195,'CDCM Volume Forecasts'!$A$28:$AL$136,E$143,FALSE)</f>
        <v>0</v>
      </c>
      <c r="F236" s="292"/>
      <c r="G236" s="292"/>
      <c r="H236" s="292"/>
      <c r="I236" s="7"/>
      <c r="J236"/>
      <c r="K236"/>
      <c r="L236"/>
    </row>
    <row r="237" spans="1:12" ht="15">
      <c r="A237" s="288" t="s">
        <v>161</v>
      </c>
      <c r="B237" s="290"/>
      <c r="C237" s="290"/>
      <c r="D237" s="290"/>
      <c r="E237" s="290"/>
      <c r="F237" s="290"/>
      <c r="G237" s="290"/>
      <c r="H237" s="290"/>
      <c r="I237" s="7"/>
      <c r="J237"/>
      <c r="K237"/>
      <c r="L237"/>
    </row>
    <row r="238" spans="1:12" ht="15">
      <c r="A238" s="285" t="s">
        <v>65</v>
      </c>
      <c r="B238" s="266">
        <f>VLOOKUP(Vlookup!$B197,'CDCM Volume Forecasts'!$A$28:$AL$136,B$143,FALSE)</f>
        <v>13040.742602439654</v>
      </c>
      <c r="C238" s="292"/>
      <c r="D238" s="292"/>
      <c r="E238" s="266">
        <f>VLOOKUP(Vlookup!$B197,'CDCM Volume Forecasts'!$A$28:$AL$136,E$143,FALSE)</f>
        <v>121.63811301369863</v>
      </c>
      <c r="F238" s="292"/>
      <c r="G238" s="292"/>
      <c r="H238" s="266">
        <f>VLOOKUP(Vlookup!$B197,'CDCM Volume Forecasts'!$A$28:$AL$136,H$143,FALSE)</f>
        <v>1632.6222186810344</v>
      </c>
      <c r="I238" s="7"/>
      <c r="J238"/>
      <c r="K238"/>
      <c r="L238"/>
    </row>
    <row r="239" spans="1:12" ht="15">
      <c r="A239" s="285" t="s">
        <v>162</v>
      </c>
      <c r="B239" s="266">
        <f>VLOOKUP(Vlookup!$B198,'CDCM Volume Forecasts'!$A$28:$AL$136,B$143,FALSE)</f>
        <v>0</v>
      </c>
      <c r="C239" s="292"/>
      <c r="D239" s="292"/>
      <c r="E239" s="266">
        <f>VLOOKUP(Vlookup!$B198,'CDCM Volume Forecasts'!$A$28:$AL$136,E$143,FALSE)</f>
        <v>0</v>
      </c>
      <c r="F239" s="292"/>
      <c r="G239" s="292"/>
      <c r="H239" s="266">
        <f>VLOOKUP(Vlookup!$B198,'CDCM Volume Forecasts'!$A$28:$AL$136,H$143,FALSE)</f>
        <v>0</v>
      </c>
      <c r="I239" s="7"/>
      <c r="J239"/>
      <c r="K239"/>
      <c r="L239"/>
    </row>
    <row r="240" spans="1:12" ht="15">
      <c r="A240" s="288" t="s">
        <v>1561</v>
      </c>
      <c r="B240" s="290"/>
      <c r="C240" s="290"/>
      <c r="D240" s="290"/>
      <c r="E240" s="290"/>
      <c r="F240" s="290"/>
      <c r="G240" s="290"/>
      <c r="H240" s="290"/>
      <c r="I240" s="7"/>
      <c r="J240"/>
      <c r="K240"/>
      <c r="L240"/>
    </row>
    <row r="241" spans="1:12" ht="15">
      <c r="A241" s="285" t="s">
        <v>1518</v>
      </c>
      <c r="B241" s="266">
        <f>VLOOKUP(Vlookup!$B200,'CDCM Volume Forecasts'!$A$28:$AL$136,B$143,FALSE)</f>
        <v>0</v>
      </c>
      <c r="C241" s="292"/>
      <c r="D241" s="292"/>
      <c r="E241" s="266">
        <f>VLOOKUP(Vlookup!$B200,'CDCM Volume Forecasts'!$A$28:$AL$136,E$143,FALSE)</f>
        <v>0</v>
      </c>
      <c r="F241" s="292"/>
      <c r="G241" s="292"/>
      <c r="H241" s="292"/>
      <c r="I241" s="7"/>
      <c r="J241"/>
      <c r="K241"/>
      <c r="L241"/>
    </row>
    <row r="242" spans="1:12" ht="15">
      <c r="A242" s="288" t="s">
        <v>163</v>
      </c>
      <c r="B242" s="290"/>
      <c r="C242" s="290"/>
      <c r="D242" s="290"/>
      <c r="E242" s="290"/>
      <c r="F242" s="290"/>
      <c r="G242" s="290"/>
      <c r="H242" s="290"/>
      <c r="I242" s="7"/>
      <c r="J242"/>
      <c r="K242"/>
      <c r="L242"/>
    </row>
    <row r="243" spans="1:12" ht="15">
      <c r="A243" s="285" t="s">
        <v>66</v>
      </c>
      <c r="B243" s="266">
        <f>VLOOKUP(Vlookup!$B202,'CDCM Volume Forecasts'!$A$28:$AL$136,B$143,FALSE)</f>
        <v>262.77834065563309</v>
      </c>
      <c r="C243" s="266">
        <f>VLOOKUP(Vlookup!$B202,'CDCM Volume Forecasts'!$A$28:$AL$136,C$143,FALSE)</f>
        <v>1416.430282521459</v>
      </c>
      <c r="D243" s="266">
        <f>VLOOKUP(Vlookup!$B202,'CDCM Volume Forecasts'!$A$28:$AL$136,D$143,FALSE)</f>
        <v>2413.7732126878327</v>
      </c>
      <c r="E243" s="266">
        <f>VLOOKUP(Vlookup!$B202,'CDCM Volume Forecasts'!$A$28:$AL$136,E$143,FALSE)</f>
        <v>12.478949999999999</v>
      </c>
      <c r="F243" s="292"/>
      <c r="G243" s="292"/>
      <c r="H243" s="266">
        <f>VLOOKUP(Vlookup!$B202,'CDCM Volume Forecasts'!$A$28:$AL$136,H$143,FALSE)</f>
        <v>606.8858033017242</v>
      </c>
      <c r="I243" s="7"/>
      <c r="J243"/>
      <c r="K243"/>
      <c r="L243"/>
    </row>
    <row r="244" spans="1:12" ht="15">
      <c r="A244" s="285" t="s">
        <v>164</v>
      </c>
      <c r="B244" s="266">
        <f>VLOOKUP(Vlookup!$B203,'CDCM Volume Forecasts'!$A$28:$AL$136,B$143,FALSE)</f>
        <v>0</v>
      </c>
      <c r="C244" s="266">
        <f>VLOOKUP(Vlookup!$B203,'CDCM Volume Forecasts'!$A$28:$AL$136,C$143,FALSE)</f>
        <v>0</v>
      </c>
      <c r="D244" s="266">
        <f>VLOOKUP(Vlookup!$B203,'CDCM Volume Forecasts'!$A$28:$AL$136,D$143,FALSE)</f>
        <v>0</v>
      </c>
      <c r="E244" s="266">
        <f>VLOOKUP(Vlookup!$B203,'CDCM Volume Forecasts'!$A$28:$AL$136,E$143,FALSE)</f>
        <v>0</v>
      </c>
      <c r="F244" s="292"/>
      <c r="G244" s="292"/>
      <c r="H244" s="266">
        <f>VLOOKUP(Vlookup!$B203,'CDCM Volume Forecasts'!$A$28:$AL$136,H$143,FALSE)</f>
        <v>0</v>
      </c>
      <c r="I244" s="7"/>
      <c r="J244"/>
      <c r="K244"/>
      <c r="L244"/>
    </row>
    <row r="245" spans="1:12" ht="15">
      <c r="A245" s="288" t="s">
        <v>1562</v>
      </c>
      <c r="B245" s="290"/>
      <c r="C245" s="290"/>
      <c r="D245" s="290"/>
      <c r="E245" s="290"/>
      <c r="F245" s="290"/>
      <c r="G245" s="290"/>
      <c r="H245" s="290"/>
      <c r="I245" s="7"/>
      <c r="J245"/>
      <c r="K245"/>
      <c r="L245"/>
    </row>
    <row r="246" spans="1:12" ht="15">
      <c r="A246" s="285" t="s">
        <v>1519</v>
      </c>
      <c r="B246" s="266">
        <f>VLOOKUP(Vlookup!$B205,'CDCM Volume Forecasts'!$A$28:$AL$136,B$143,FALSE)</f>
        <v>0</v>
      </c>
      <c r="C246" s="266">
        <f>VLOOKUP(Vlookup!$B205,'CDCM Volume Forecasts'!$A$28:$AL$136,C$143,FALSE)</f>
        <v>0</v>
      </c>
      <c r="D246" s="266">
        <f>VLOOKUP(Vlookup!$B205,'CDCM Volume Forecasts'!$A$28:$AL$136,D$143,FALSE)</f>
        <v>0</v>
      </c>
      <c r="E246" s="266">
        <f>VLOOKUP(Vlookup!$B205,'CDCM Volume Forecasts'!$A$28:$AL$136,E$143,FALSE)</f>
        <v>0</v>
      </c>
      <c r="F246" s="292"/>
      <c r="G246" s="292"/>
      <c r="H246" s="292"/>
      <c r="I246" s="7"/>
      <c r="J246"/>
      <c r="K246"/>
      <c r="L246"/>
    </row>
    <row r="247" spans="1:12" ht="15">
      <c r="A247" s="288" t="s">
        <v>165</v>
      </c>
      <c r="B247" s="290"/>
      <c r="C247" s="290"/>
      <c r="D247" s="290"/>
      <c r="E247" s="290"/>
      <c r="F247" s="290"/>
      <c r="G247" s="290"/>
      <c r="H247" s="290"/>
      <c r="I247" s="7"/>
      <c r="J247"/>
      <c r="K247"/>
      <c r="L247"/>
    </row>
    <row r="248" spans="1:12" ht="15">
      <c r="A248" s="285" t="s">
        <v>74</v>
      </c>
      <c r="B248" s="266">
        <f>VLOOKUP(Vlookup!$B207,'CDCM Volume Forecasts'!$A$28:$AL$136,B$143,FALSE)</f>
        <v>408798.58803053456</v>
      </c>
      <c r="C248" s="292"/>
      <c r="D248" s="292"/>
      <c r="E248" s="266">
        <f>VLOOKUP(Vlookup!$B207,'CDCM Volume Forecasts'!$A$28:$AL$136,E$143,FALSE)</f>
        <v>237.99717534246571</v>
      </c>
      <c r="F248" s="292"/>
      <c r="G248" s="292"/>
      <c r="H248" s="266">
        <f>VLOOKUP(Vlookup!$B207,'CDCM Volume Forecasts'!$A$28:$AL$136,H$143,FALSE)</f>
        <v>3870.4537602500009</v>
      </c>
      <c r="I248" s="7"/>
      <c r="J248"/>
      <c r="K248"/>
      <c r="L248"/>
    </row>
    <row r="249" spans="1:12" ht="15">
      <c r="A249" s="285" t="s">
        <v>166</v>
      </c>
      <c r="B249" s="266">
        <f>VLOOKUP(Vlookup!$B208,'CDCM Volume Forecasts'!$A$28:$AL$136,B$143,FALSE)</f>
        <v>28.965318951724136</v>
      </c>
      <c r="C249" s="292"/>
      <c r="D249" s="292"/>
      <c r="E249" s="266">
        <f>VLOOKUP(Vlookup!$B208,'CDCM Volume Forecasts'!$A$28:$AL$136,E$143,FALSE)</f>
        <v>1.9710246575342465</v>
      </c>
      <c r="F249" s="292"/>
      <c r="G249" s="292"/>
      <c r="H249" s="266">
        <f>VLOOKUP(Vlookup!$B208,'CDCM Volume Forecasts'!$A$28:$AL$136,H$143,FALSE)</f>
        <v>0</v>
      </c>
      <c r="I249" s="7"/>
      <c r="J249"/>
      <c r="K249"/>
      <c r="L249"/>
    </row>
    <row r="250" spans="1:12" ht="15">
      <c r="A250" s="288" t="s">
        <v>1563</v>
      </c>
      <c r="B250" s="290"/>
      <c r="C250" s="290"/>
      <c r="D250" s="290"/>
      <c r="E250" s="290"/>
      <c r="F250" s="290"/>
      <c r="G250" s="290"/>
      <c r="H250" s="290"/>
      <c r="I250" s="7"/>
      <c r="J250"/>
      <c r="K250"/>
      <c r="L250"/>
    </row>
    <row r="251" spans="1:12" ht="15">
      <c r="A251" s="285" t="s">
        <v>1520</v>
      </c>
      <c r="B251" s="266">
        <f>VLOOKUP(Vlookup!$B210,'CDCM Volume Forecasts'!$A$28:$AL$136,B$143,FALSE)</f>
        <v>0</v>
      </c>
      <c r="C251" s="292"/>
      <c r="D251" s="292"/>
      <c r="E251" s="266">
        <f>VLOOKUP(Vlookup!$B210,'CDCM Volume Forecasts'!$A$28:$AL$136,E$143,FALSE)</f>
        <v>0</v>
      </c>
      <c r="F251" s="292"/>
      <c r="G251" s="292"/>
      <c r="H251" s="292"/>
      <c r="I251" s="7"/>
      <c r="J251"/>
      <c r="K251"/>
      <c r="L251"/>
    </row>
    <row r="252" spans="1:12" ht="15">
      <c r="A252" s="288" t="s">
        <v>167</v>
      </c>
      <c r="B252" s="290"/>
      <c r="C252" s="290"/>
      <c r="D252" s="290"/>
      <c r="E252" s="290"/>
      <c r="F252" s="290"/>
      <c r="G252" s="290"/>
      <c r="H252" s="290"/>
      <c r="I252" s="7"/>
      <c r="J252"/>
      <c r="K252"/>
      <c r="L252"/>
    </row>
    <row r="253" spans="1:12" ht="15">
      <c r="A253" s="285" t="s">
        <v>75</v>
      </c>
      <c r="B253" s="266">
        <f>VLOOKUP(Vlookup!$B212,'CDCM Volume Forecasts'!$A$28:$AL$136,B$143,FALSE)</f>
        <v>18175.24295154327</v>
      </c>
      <c r="C253" s="266">
        <f>VLOOKUP(Vlookup!$B212,'CDCM Volume Forecasts'!$A$28:$AL$136,C$143,FALSE)</f>
        <v>96563.406957456726</v>
      </c>
      <c r="D253" s="266">
        <f>VLOOKUP(Vlookup!$B212,'CDCM Volume Forecasts'!$A$28:$AL$136,D$143,FALSE)</f>
        <v>133398.79562824525</v>
      </c>
      <c r="E253" s="266">
        <f>VLOOKUP(Vlookup!$B212,'CDCM Volume Forecasts'!$A$28:$AL$136,E$143,FALSE)</f>
        <v>70.943264383561655</v>
      </c>
      <c r="F253" s="292"/>
      <c r="G253" s="292"/>
      <c r="H253" s="266">
        <f>VLOOKUP(Vlookup!$B212,'CDCM Volume Forecasts'!$A$28:$AL$136,H$143,FALSE)</f>
        <v>2452.5003561982758</v>
      </c>
      <c r="I253" s="7"/>
      <c r="J253"/>
      <c r="K253"/>
      <c r="L253"/>
    </row>
    <row r="254" spans="1:12" ht="15">
      <c r="A254" s="285" t="s">
        <v>168</v>
      </c>
      <c r="B254" s="266">
        <f>VLOOKUP(Vlookup!$B213,'CDCM Volume Forecasts'!$A$28:$AL$136,B$143,FALSE)</f>
        <v>6.9664922394678516E-2</v>
      </c>
      <c r="C254" s="266">
        <f>VLOOKUP(Vlookup!$B213,'CDCM Volume Forecasts'!$A$28:$AL$136,C$143,FALSE)</f>
        <v>0.88856101305223611</v>
      </c>
      <c r="D254" s="266">
        <f>VLOOKUP(Vlookup!$B213,'CDCM Volume Forecasts'!$A$28:$AL$136,D$143,FALSE)</f>
        <v>2.9569237396821908</v>
      </c>
      <c r="E254" s="266">
        <f>VLOOKUP(Vlookup!$B213,'CDCM Volume Forecasts'!$A$28:$AL$136,E$143,FALSE)</f>
        <v>1.3382136986301367</v>
      </c>
      <c r="F254" s="292"/>
      <c r="G254" s="292"/>
      <c r="H254" s="266">
        <f>VLOOKUP(Vlookup!$B213,'CDCM Volume Forecasts'!$A$28:$AL$136,H$143,FALSE)</f>
        <v>0.9497207172413793</v>
      </c>
      <c r="I254" s="7"/>
      <c r="J254"/>
      <c r="K254"/>
      <c r="L254"/>
    </row>
    <row r="255" spans="1:12" ht="15">
      <c r="A255" s="288" t="s">
        <v>1564</v>
      </c>
      <c r="B255" s="290"/>
      <c r="C255" s="290"/>
      <c r="D255" s="290"/>
      <c r="E255" s="290"/>
      <c r="F255" s="290"/>
      <c r="G255" s="290"/>
      <c r="H255" s="290"/>
      <c r="I255" s="7"/>
      <c r="J255"/>
      <c r="K255"/>
      <c r="L255"/>
    </row>
    <row r="256" spans="1:12" ht="15">
      <c r="A256" s="285" t="s">
        <v>1521</v>
      </c>
      <c r="B256" s="266">
        <f>VLOOKUP(Vlookup!$B215,'CDCM Volume Forecasts'!$A$28:$AL$136,B$143,FALSE)</f>
        <v>0</v>
      </c>
      <c r="C256" s="266">
        <f>VLOOKUP(Vlookup!$B215,'CDCM Volume Forecasts'!$A$28:$AL$136,C$143,FALSE)</f>
        <v>0</v>
      </c>
      <c r="D256" s="266">
        <f>VLOOKUP(Vlookup!$B215,'CDCM Volume Forecasts'!$A$28:$AL$136,D$143,FALSE)</f>
        <v>0</v>
      </c>
      <c r="E256" s="266">
        <f>VLOOKUP(Vlookup!$B215,'CDCM Volume Forecasts'!$A$28:$AL$136,E$143,FALSE)</f>
        <v>0</v>
      </c>
      <c r="F256" s="292"/>
      <c r="G256" s="292"/>
      <c r="H256" s="292"/>
      <c r="I256" s="7"/>
      <c r="J256"/>
      <c r="K256"/>
      <c r="L256"/>
    </row>
    <row r="257" spans="1:11" ht="15">
      <c r="A257"/>
      <c r="B257"/>
      <c r="C257"/>
      <c r="D257"/>
      <c r="E257"/>
      <c r="F257"/>
      <c r="G257"/>
      <c r="H257"/>
      <c r="I257"/>
      <c r="J257"/>
      <c r="K257"/>
    </row>
    <row r="258" spans="1:11" ht="19.5">
      <c r="A258" s="1" t="s">
        <v>169</v>
      </c>
      <c r="B258"/>
      <c r="C258"/>
      <c r="D258"/>
      <c r="E258"/>
      <c r="F258"/>
      <c r="G258"/>
      <c r="H258"/>
      <c r="I258"/>
      <c r="J258"/>
      <c r="K258"/>
    </row>
    <row r="259" spans="1:11" ht="15">
      <c r="A259" s="2" t="s">
        <v>224</v>
      </c>
      <c r="B259"/>
      <c r="C259"/>
      <c r="D259"/>
      <c r="E259"/>
      <c r="F259"/>
      <c r="G259"/>
      <c r="H259"/>
      <c r="I259"/>
      <c r="J259"/>
      <c r="K259"/>
    </row>
    <row r="260" spans="1:11" ht="15">
      <c r="A260" t="s">
        <v>99</v>
      </c>
      <c r="B260"/>
      <c r="C260"/>
      <c r="D260"/>
      <c r="E260"/>
      <c r="F260"/>
      <c r="G260"/>
      <c r="H260"/>
      <c r="I260"/>
      <c r="J260"/>
      <c r="K260"/>
    </row>
    <row r="261" spans="1:11" ht="30">
      <c r="A261"/>
      <c r="B261" s="3" t="s">
        <v>170</v>
      </c>
      <c r="C261"/>
      <c r="D261"/>
      <c r="E261"/>
      <c r="F261"/>
      <c r="G261"/>
      <c r="H261"/>
      <c r="I261"/>
      <c r="J261"/>
      <c r="K261"/>
    </row>
    <row r="262" spans="1:11" ht="15">
      <c r="A262" s="8" t="s">
        <v>171</v>
      </c>
      <c r="B262" s="10">
        <f>VLOOKUP(Vlookup!B221,'CDCM Forecast Data'!$A$14:$I$271,5,FALSE)</f>
        <v>8442465.8795590196</v>
      </c>
      <c r="C262" s="7" t="s">
        <v>224</v>
      </c>
      <c r="D262"/>
      <c r="E262"/>
      <c r="F262"/>
      <c r="G262"/>
      <c r="H262"/>
      <c r="I262"/>
      <c r="J262"/>
      <c r="K262"/>
    </row>
    <row r="263" spans="1:11" ht="15">
      <c r="A263"/>
      <c r="B263"/>
      <c r="C263"/>
      <c r="D263"/>
      <c r="E263"/>
      <c r="F263"/>
      <c r="G263"/>
      <c r="H263"/>
      <c r="I263"/>
      <c r="J263"/>
      <c r="K263"/>
    </row>
    <row r="264" spans="1:11" ht="19.5">
      <c r="A264" s="1" t="s">
        <v>172</v>
      </c>
      <c r="B264"/>
      <c r="C264"/>
      <c r="D264"/>
      <c r="E264"/>
      <c r="F264"/>
      <c r="G264"/>
      <c r="H264"/>
      <c r="I264"/>
      <c r="J264"/>
      <c r="K264"/>
    </row>
    <row r="265" spans="1:11" ht="15">
      <c r="A265" t="s">
        <v>224</v>
      </c>
      <c r="B265"/>
      <c r="C265"/>
      <c r="D265"/>
      <c r="E265"/>
      <c r="F265"/>
      <c r="G265"/>
      <c r="H265"/>
      <c r="I265"/>
      <c r="J265"/>
      <c r="K265"/>
    </row>
    <row r="266" spans="1:11" ht="30">
      <c r="A266"/>
      <c r="B266" s="3" t="s">
        <v>173</v>
      </c>
      <c r="C266" s="3" t="s">
        <v>174</v>
      </c>
      <c r="D266" s="3" t="s">
        <v>175</v>
      </c>
      <c r="E266" s="3" t="s">
        <v>176</v>
      </c>
      <c r="F266"/>
      <c r="G266"/>
      <c r="H266"/>
      <c r="I266"/>
      <c r="J266"/>
      <c r="K266"/>
    </row>
    <row r="267" spans="1:11" ht="15">
      <c r="A267" s="8" t="s">
        <v>177</v>
      </c>
      <c r="B267" s="10">
        <f>VLOOKUP(Vlookup!B226,'CDCM Forecast Data'!$A$14:$I$271,5,FALSE)</f>
        <v>33743177.6534563</v>
      </c>
      <c r="C267" s="10">
        <f>VLOOKUP(Vlookup!C226,'CDCM Forecast Data'!$A$14:$I$271,5,FALSE)</f>
        <v>100910650.80992401</v>
      </c>
      <c r="D267" s="11">
        <f>VLOOKUP(Vlookup!D226,'CDCM Forecast Data'!$A$14:$I$271,5,FALSE)</f>
        <v>0.6</v>
      </c>
      <c r="E267" s="10">
        <f>VLOOKUP(Vlookup!E226,'CDCM Forecast Data'!$A$14:$I$271,5,FALSE)</f>
        <v>19601920</v>
      </c>
      <c r="F267" s="7" t="s">
        <v>224</v>
      </c>
      <c r="G267"/>
      <c r="H267"/>
      <c r="I267"/>
      <c r="J267"/>
      <c r="K267"/>
    </row>
    <row r="268" spans="1:11" ht="15">
      <c r="A268"/>
      <c r="B268"/>
      <c r="C268"/>
      <c r="D268"/>
      <c r="E268"/>
      <c r="F268"/>
      <c r="G268"/>
      <c r="H268"/>
      <c r="I268"/>
      <c r="J268"/>
      <c r="K268"/>
    </row>
    <row r="269" spans="1:11" ht="19.5">
      <c r="A269" s="1" t="s">
        <v>178</v>
      </c>
      <c r="B269"/>
      <c r="C269"/>
      <c r="D269"/>
      <c r="E269"/>
      <c r="F269"/>
      <c r="G269"/>
      <c r="H269"/>
      <c r="I269"/>
      <c r="J269"/>
      <c r="K269"/>
    </row>
    <row r="270" spans="1:11" ht="15">
      <c r="A270" s="2"/>
      <c r="B270"/>
      <c r="C270"/>
      <c r="D270"/>
      <c r="E270"/>
      <c r="F270"/>
      <c r="G270"/>
      <c r="H270"/>
      <c r="I270"/>
      <c r="J270"/>
      <c r="K270"/>
    </row>
    <row r="271" spans="1:11" ht="15">
      <c r="A271" s="2" t="s">
        <v>179</v>
      </c>
      <c r="B271"/>
      <c r="C271"/>
      <c r="D271"/>
      <c r="E271"/>
      <c r="F271"/>
      <c r="G271"/>
      <c r="H271"/>
      <c r="I271"/>
      <c r="J271"/>
      <c r="K271"/>
    </row>
    <row r="272" spans="1:11" ht="15">
      <c r="A272" s="2" t="s">
        <v>180</v>
      </c>
      <c r="B272"/>
      <c r="C272"/>
      <c r="D272"/>
      <c r="E272"/>
      <c r="F272"/>
      <c r="G272"/>
      <c r="H272"/>
      <c r="I272"/>
      <c r="J272"/>
      <c r="K272"/>
    </row>
    <row r="273" spans="1:11" ht="15">
      <c r="A273" t="s">
        <v>181</v>
      </c>
      <c r="B273"/>
      <c r="C273"/>
      <c r="D273"/>
      <c r="E273"/>
      <c r="F273"/>
      <c r="G273"/>
      <c r="H273"/>
      <c r="I273"/>
      <c r="J273"/>
      <c r="K273"/>
    </row>
    <row r="274" spans="1:11" ht="30">
      <c r="A274"/>
      <c r="B274" s="3" t="s">
        <v>182</v>
      </c>
      <c r="C274" s="3" t="s">
        <v>183</v>
      </c>
      <c r="D274" s="3" t="s">
        <v>184</v>
      </c>
      <c r="E274" s="3" t="s">
        <v>185</v>
      </c>
      <c r="F274" s="3" t="s">
        <v>186</v>
      </c>
      <c r="G274" s="3" t="s">
        <v>187</v>
      </c>
      <c r="H274" s="3" t="s">
        <v>188</v>
      </c>
      <c r="I274" s="3" t="s">
        <v>189</v>
      </c>
      <c r="J274"/>
      <c r="K274"/>
    </row>
    <row r="275" spans="1:11" ht="15">
      <c r="A275" s="8" t="s">
        <v>190</v>
      </c>
      <c r="B275" s="11">
        <f>VLOOKUP(Vlookup!B234,'CDCM Forecast Data'!$A$14:$I$271,5,FALSE)</f>
        <v>0</v>
      </c>
      <c r="C275" s="11">
        <f>VLOOKUP(Vlookup!C234,'CDCM Forecast Data'!$A$14:$I$271,5,FALSE)</f>
        <v>0</v>
      </c>
      <c r="D275" s="11">
        <f>VLOOKUP(Vlookup!D234,'CDCM Forecast Data'!$A$14:$I$271,5,FALSE)</f>
        <v>0</v>
      </c>
      <c r="E275" s="11">
        <f>VLOOKUP(Vlookup!E234,'CDCM Forecast Data'!$A$14:$I$271,5,FALSE)</f>
        <v>0.81</v>
      </c>
      <c r="F275" s="11">
        <f>VLOOKUP(Vlookup!F234,'CDCM Forecast Data'!$A$14:$I$271,5,FALSE)</f>
        <v>0</v>
      </c>
      <c r="G275" s="11">
        <f>VLOOKUP(Vlookup!G234,'CDCM Forecast Data'!$A$14:$I$271,5,FALSE)</f>
        <v>0.81</v>
      </c>
      <c r="H275" s="11">
        <f>VLOOKUP(Vlookup!H234,'CDCM Forecast Data'!$A$14:$I$271,5,FALSE)</f>
        <v>0.95</v>
      </c>
      <c r="I275" s="11">
        <f>VLOOKUP(Vlookup!I234,'CDCM Forecast Data'!$A$14:$I$271,5,FALSE)</f>
        <v>0.95</v>
      </c>
      <c r="J275" s="7" t="s">
        <v>224</v>
      </c>
      <c r="K275"/>
    </row>
    <row r="276" spans="1:11" ht="15">
      <c r="A276" s="8" t="s">
        <v>191</v>
      </c>
      <c r="B276" s="11">
        <f>VLOOKUP(Vlookup!B235,'CDCM Forecast Data'!$A$14:$I$271,5,FALSE)</f>
        <v>0</v>
      </c>
      <c r="C276" s="11">
        <f>VLOOKUP(Vlookup!C235,'CDCM Forecast Data'!$A$14:$I$271,5,FALSE)</f>
        <v>0</v>
      </c>
      <c r="D276" s="11">
        <f>VLOOKUP(Vlookup!D235,'CDCM Forecast Data'!$A$14:$I$271,5,FALSE)</f>
        <v>0</v>
      </c>
      <c r="E276" s="11">
        <f>VLOOKUP(Vlookup!E235,'CDCM Forecast Data'!$A$14:$I$271,5,FALSE)</f>
        <v>0.81</v>
      </c>
      <c r="F276" s="11">
        <f>VLOOKUP(Vlookup!F235,'CDCM Forecast Data'!$A$14:$I$271,5,FALSE)</f>
        <v>0</v>
      </c>
      <c r="G276" s="11">
        <f>VLOOKUP(Vlookup!G235,'CDCM Forecast Data'!$A$14:$I$271,5,FALSE)</f>
        <v>0.81</v>
      </c>
      <c r="H276" s="11">
        <f>VLOOKUP(Vlookup!H235,'CDCM Forecast Data'!$A$14:$I$271,5,FALSE)</f>
        <v>0.95</v>
      </c>
      <c r="I276" s="6"/>
      <c r="J276" s="7" t="s">
        <v>224</v>
      </c>
      <c r="K276"/>
    </row>
    <row r="277" spans="1:11" ht="15">
      <c r="A277" s="8" t="s">
        <v>192</v>
      </c>
      <c r="B277" s="11">
        <f>VLOOKUP(Vlookup!B236,'CDCM Forecast Data'!$A$14:$I$271,5,FALSE)</f>
        <v>0</v>
      </c>
      <c r="C277" s="11">
        <f>VLOOKUP(Vlookup!C236,'CDCM Forecast Data'!$A$14:$I$271,5,FALSE)</f>
        <v>0.67</v>
      </c>
      <c r="D277" s="11">
        <f>VLOOKUP(Vlookup!D236,'CDCM Forecast Data'!$A$14:$I$271,5,FALSE)</f>
        <v>0.67</v>
      </c>
      <c r="E277" s="11">
        <f>VLOOKUP(Vlookup!E236,'CDCM Forecast Data'!$A$14:$I$271,5,FALSE)</f>
        <v>1</v>
      </c>
      <c r="F277" s="11">
        <f>VLOOKUP(Vlookup!F236,'CDCM Forecast Data'!$A$14:$I$271,5,FALSE)</f>
        <v>0</v>
      </c>
      <c r="G277" s="11">
        <f>VLOOKUP(Vlookup!G236,'CDCM Forecast Data'!$A$14:$I$271,5,FALSE)</f>
        <v>1</v>
      </c>
      <c r="H277" s="6"/>
      <c r="I277" s="6"/>
      <c r="J277" s="7" t="s">
        <v>224</v>
      </c>
      <c r="K277"/>
    </row>
    <row r="278" spans="1:11" ht="15">
      <c r="A278" s="8" t="s">
        <v>193</v>
      </c>
      <c r="B278" s="11">
        <f>VLOOKUP(Vlookup!B237,'CDCM Forecast Data'!$A$14:$I$271,5,FALSE)</f>
        <v>0</v>
      </c>
      <c r="C278" s="11">
        <f>VLOOKUP(Vlookup!C237,'CDCM Forecast Data'!$A$14:$I$271,5,FALSE)</f>
        <v>0.67</v>
      </c>
      <c r="D278" s="11">
        <f>VLOOKUP(Vlookup!D237,'CDCM Forecast Data'!$A$14:$I$271,5,FALSE)</f>
        <v>0.67</v>
      </c>
      <c r="E278" s="11">
        <f>VLOOKUP(Vlookup!E237,'CDCM Forecast Data'!$A$14:$I$271,5,FALSE)</f>
        <v>1</v>
      </c>
      <c r="F278" s="6"/>
      <c r="G278" s="6"/>
      <c r="H278" s="6"/>
      <c r="I278" s="6"/>
      <c r="J278" s="7" t="s">
        <v>224</v>
      </c>
      <c r="K278"/>
    </row>
    <row r="279" spans="1:11" ht="15">
      <c r="A279"/>
      <c r="B279"/>
      <c r="C279"/>
      <c r="D279"/>
      <c r="E279"/>
      <c r="F279"/>
      <c r="G279"/>
      <c r="H279"/>
      <c r="I279"/>
      <c r="J279"/>
      <c r="K279"/>
    </row>
    <row r="280" spans="1:11" ht="19.5">
      <c r="A280" s="1" t="s">
        <v>194</v>
      </c>
      <c r="B280"/>
      <c r="C280"/>
      <c r="D280"/>
      <c r="E280"/>
      <c r="F280"/>
      <c r="G280"/>
      <c r="H280"/>
      <c r="I280"/>
      <c r="J280"/>
      <c r="K280"/>
    </row>
    <row r="281" spans="1:11" ht="15">
      <c r="A281"/>
      <c r="B281"/>
      <c r="C281"/>
      <c r="D281"/>
      <c r="E281"/>
      <c r="F281"/>
      <c r="G281"/>
      <c r="H281"/>
      <c r="I281"/>
      <c r="J281"/>
      <c r="K281"/>
    </row>
    <row r="282" spans="1:11" ht="15">
      <c r="A282"/>
      <c r="B282" s="3" t="s">
        <v>195</v>
      </c>
      <c r="C282" s="3" t="s">
        <v>196</v>
      </c>
      <c r="D282" s="3" t="s">
        <v>197</v>
      </c>
      <c r="E282"/>
      <c r="F282"/>
      <c r="G282"/>
      <c r="H282"/>
      <c r="I282"/>
      <c r="J282"/>
      <c r="K282"/>
    </row>
    <row r="283" spans="1:11" ht="15">
      <c r="A283" s="8" t="s">
        <v>54</v>
      </c>
      <c r="B283" s="11">
        <f>VLOOKUP(Vlookup!B247,'CDCM Forecast Data'!$A$14:$I$271,5,FALSE)</f>
        <v>8.8740200313094042E-2</v>
      </c>
      <c r="C283" s="11">
        <f>VLOOKUP(Vlookup!C247,'CDCM Forecast Data'!$A$14:$I$271,5,FALSE)</f>
        <v>0.46239559627820986</v>
      </c>
      <c r="D283" s="11">
        <f>VLOOKUP(Vlookup!D247,'CDCM Forecast Data'!$A$14:$I$271,5,FALSE)</f>
        <v>0.44886420340869609</v>
      </c>
      <c r="E283" s="7" t="s">
        <v>224</v>
      </c>
      <c r="F283"/>
      <c r="G283"/>
      <c r="H283"/>
      <c r="I283"/>
      <c r="J283"/>
      <c r="K283"/>
    </row>
    <row r="284" spans="1:11" ht="15">
      <c r="A284" s="8" t="s">
        <v>55</v>
      </c>
      <c r="B284" s="11">
        <f>VLOOKUP(Vlookup!B248,'CDCM Forecast Data'!$A$14:$I$271,5,FALSE)</f>
        <v>0.10751585240751205</v>
      </c>
      <c r="C284" s="11">
        <f>VLOOKUP(Vlookup!C248,'CDCM Forecast Data'!$A$14:$I$271,5,FALSE)</f>
        <v>0.53928993725192576</v>
      </c>
      <c r="D284" s="11">
        <f>VLOOKUP(Vlookup!D248,'CDCM Forecast Data'!$A$14:$I$271,5,FALSE)</f>
        <v>0.35319421034056231</v>
      </c>
      <c r="E284" s="7" t="s">
        <v>224</v>
      </c>
      <c r="F284"/>
      <c r="G284"/>
      <c r="H284"/>
      <c r="I284"/>
      <c r="J284"/>
      <c r="K284"/>
    </row>
    <row r="285" spans="1:11" ht="15">
      <c r="A285" s="8" t="s">
        <v>91</v>
      </c>
      <c r="B285" s="11">
        <f>VLOOKUP(Vlookup!B249,'CDCM Forecast Data'!$A$14:$I$271,5,FALSE)</f>
        <v>1.3467452839655742E-3</v>
      </c>
      <c r="C285" s="11">
        <f>VLOOKUP(Vlookup!C249,'CDCM Forecast Data'!$A$14:$I$271,5,FALSE)</f>
        <v>0.10870547020102579</v>
      </c>
      <c r="D285" s="11">
        <f>VLOOKUP(Vlookup!D249,'CDCM Forecast Data'!$A$14:$I$271,5,FALSE)</f>
        <v>0.88994778451500867</v>
      </c>
      <c r="E285" s="7"/>
      <c r="F285"/>
      <c r="G285"/>
      <c r="H285"/>
      <c r="I285"/>
      <c r="J285"/>
      <c r="K285"/>
    </row>
    <row r="286" spans="1:11" ht="15">
      <c r="A286" s="8" t="s">
        <v>56</v>
      </c>
      <c r="B286" s="11">
        <f>VLOOKUP(Vlookup!B250,'CDCM Forecast Data'!$A$14:$I$271,5,FALSE)</f>
        <v>6.26200465507879E-2</v>
      </c>
      <c r="C286" s="11">
        <f>VLOOKUP(Vlookup!C250,'CDCM Forecast Data'!$A$14:$I$271,5,FALSE)</f>
        <v>0.56596294840089356</v>
      </c>
      <c r="D286" s="11">
        <f>VLOOKUP(Vlookup!D250,'CDCM Forecast Data'!$A$14:$I$271,5,FALSE)</f>
        <v>0.37141700504831854</v>
      </c>
      <c r="E286" s="7"/>
      <c r="F286"/>
      <c r="G286"/>
      <c r="H286"/>
      <c r="I286"/>
      <c r="J286"/>
      <c r="K286"/>
    </row>
    <row r="287" spans="1:11" ht="15">
      <c r="A287" s="8" t="s">
        <v>57</v>
      </c>
      <c r="B287" s="11">
        <f>VLOOKUP(Vlookup!B251,'CDCM Forecast Data'!$A$14:$I$271,5,FALSE)</f>
        <v>8.1156541207900612E-2</v>
      </c>
      <c r="C287" s="11">
        <f>VLOOKUP(Vlookup!C251,'CDCM Forecast Data'!$A$14:$I$271,5,FALSE)</f>
        <v>0.63066077743340532</v>
      </c>
      <c r="D287" s="11">
        <f>VLOOKUP(Vlookup!D251,'CDCM Forecast Data'!$A$14:$I$271,5,FALSE)</f>
        <v>0.28818268135869413</v>
      </c>
      <c r="E287" s="7" t="s">
        <v>224</v>
      </c>
      <c r="F287"/>
      <c r="G287"/>
      <c r="H287"/>
      <c r="I287"/>
      <c r="J287"/>
      <c r="K287"/>
    </row>
    <row r="288" spans="1:11" ht="15">
      <c r="A288" s="8" t="s">
        <v>92</v>
      </c>
      <c r="B288" s="11">
        <f>VLOOKUP(Vlookup!B252,'CDCM Forecast Data'!$A$14:$I$271,5,FALSE)</f>
        <v>2.1108855935806684E-3</v>
      </c>
      <c r="C288" s="11">
        <f>VLOOKUP(Vlookup!C252,'CDCM Forecast Data'!$A$14:$I$271,5,FALSE)</f>
        <v>0.11802654892647897</v>
      </c>
      <c r="D288" s="11">
        <f>VLOOKUP(Vlookup!D252,'CDCM Forecast Data'!$A$14:$I$271,5,FALSE)</f>
        <v>0.87986256547994035</v>
      </c>
      <c r="E288" s="7" t="s">
        <v>224</v>
      </c>
      <c r="F288"/>
      <c r="G288"/>
      <c r="H288"/>
      <c r="I288"/>
      <c r="J288"/>
      <c r="K288"/>
    </row>
    <row r="289" spans="1:11" ht="15">
      <c r="A289" s="8" t="s">
        <v>58</v>
      </c>
      <c r="B289" s="11">
        <f>VLOOKUP(Vlookup!B253,'CDCM Forecast Data'!$A$14:$I$271,5,FALSE)</f>
        <v>8.2970247934956221E-2</v>
      </c>
      <c r="C289" s="11">
        <f>VLOOKUP(Vlookup!C253,'CDCM Forecast Data'!$A$14:$I$271,5,FALSE)</f>
        <v>0.62036110080486229</v>
      </c>
      <c r="D289" s="11">
        <f>VLOOKUP(Vlookup!D253,'CDCM Forecast Data'!$A$14:$I$271,5,FALSE)</f>
        <v>0.29666865126018144</v>
      </c>
      <c r="E289" s="7" t="s">
        <v>224</v>
      </c>
      <c r="F289"/>
      <c r="G289"/>
      <c r="H289"/>
      <c r="I289"/>
      <c r="J289"/>
      <c r="K289"/>
    </row>
    <row r="290" spans="1:11" ht="15">
      <c r="A290" s="8" t="s">
        <v>59</v>
      </c>
      <c r="B290" s="11">
        <f>VLOOKUP(Vlookup!B254,'CDCM Forecast Data'!$A$14:$I$271,5,FALSE)</f>
        <v>8.1888603416870973E-2</v>
      </c>
      <c r="C290" s="11">
        <f>VLOOKUP(Vlookup!C254,'CDCM Forecast Data'!$A$14:$I$271,5,FALSE)</f>
        <v>0.61855839995261419</v>
      </c>
      <c r="D290" s="11">
        <f>VLOOKUP(Vlookup!D254,'CDCM Forecast Data'!$A$14:$I$271,5,FALSE)</f>
        <v>0.29955299663051482</v>
      </c>
      <c r="E290" s="7" t="s">
        <v>224</v>
      </c>
      <c r="F290"/>
      <c r="G290"/>
      <c r="H290"/>
      <c r="I290"/>
      <c r="J290"/>
      <c r="K290"/>
    </row>
    <row r="291" spans="1:11" ht="15">
      <c r="A291" s="8" t="s">
        <v>72</v>
      </c>
      <c r="B291" s="11">
        <f>VLOOKUP(Vlookup!B255,'CDCM Forecast Data'!$A$14:$I$271,5,FALSE)</f>
        <v>8.215022324053349E-2</v>
      </c>
      <c r="C291" s="11">
        <f>VLOOKUP(Vlookup!C255,'CDCM Forecast Data'!$A$14:$I$271,5,FALSE)</f>
        <v>0.63955866566854391</v>
      </c>
      <c r="D291" s="11">
        <f>VLOOKUP(Vlookup!D255,'CDCM Forecast Data'!$A$14:$I$271,5,FALSE)</f>
        <v>0.27829111109092258</v>
      </c>
      <c r="E291" s="7" t="s">
        <v>224</v>
      </c>
      <c r="F291"/>
      <c r="G291"/>
      <c r="H291"/>
      <c r="I291"/>
      <c r="J291"/>
      <c r="K291"/>
    </row>
    <row r="292" spans="1:11" ht="15">
      <c r="A292"/>
      <c r="B292"/>
      <c r="C292"/>
      <c r="D292"/>
      <c r="E292"/>
      <c r="F292"/>
      <c r="G292"/>
      <c r="H292"/>
      <c r="I292"/>
      <c r="J292"/>
      <c r="K292"/>
    </row>
    <row r="293" spans="1:11" ht="19.5">
      <c r="A293" s="1" t="s">
        <v>198</v>
      </c>
      <c r="B293"/>
      <c r="C293"/>
      <c r="D293"/>
      <c r="E293"/>
      <c r="F293"/>
      <c r="G293"/>
      <c r="H293"/>
      <c r="I293"/>
      <c r="J293"/>
      <c r="K293"/>
    </row>
    <row r="294" spans="1:11" ht="15">
      <c r="A294"/>
      <c r="B294"/>
      <c r="C294"/>
      <c r="D294"/>
      <c r="E294"/>
      <c r="F294"/>
      <c r="G294"/>
      <c r="H294"/>
      <c r="I294"/>
      <c r="J294"/>
      <c r="K294"/>
    </row>
    <row r="295" spans="1:11" ht="15">
      <c r="A295"/>
      <c r="B295" s="3" t="s">
        <v>200</v>
      </c>
      <c r="C295" s="3" t="s">
        <v>201</v>
      </c>
      <c r="D295" s="3" t="s">
        <v>197</v>
      </c>
      <c r="E295"/>
      <c r="F295"/>
      <c r="G295"/>
      <c r="H295"/>
      <c r="I295"/>
      <c r="J295"/>
      <c r="K295"/>
    </row>
    <row r="296" spans="1:11" ht="15">
      <c r="A296" s="8" t="s">
        <v>55</v>
      </c>
      <c r="B296" s="11">
        <f>VLOOKUP(Vlookup!B263,'CDCM Forecast Data'!$A$14:$I$271,5,FALSE)</f>
        <v>0</v>
      </c>
      <c r="C296" s="11">
        <f>VLOOKUP(Vlookup!C263,'CDCM Forecast Data'!$A$14:$I$271,5,FALSE)</f>
        <v>2.0980929821621391E-2</v>
      </c>
      <c r="D296" s="11">
        <f>VLOOKUP(Vlookup!D263,'CDCM Forecast Data'!$A$14:$I$271,5,FALSE)</f>
        <v>0.97901907017837864</v>
      </c>
      <c r="E296" s="7" t="s">
        <v>224</v>
      </c>
      <c r="F296"/>
      <c r="G296"/>
      <c r="H296"/>
      <c r="I296"/>
      <c r="J296"/>
      <c r="K296"/>
    </row>
    <row r="297" spans="1:11" ht="15">
      <c r="A297" s="8" t="s">
        <v>57</v>
      </c>
      <c r="B297" s="11">
        <f>VLOOKUP(Vlookup!B264,'CDCM Forecast Data'!$A$14:$I$271,5,FALSE)</f>
        <v>0</v>
      </c>
      <c r="C297" s="11">
        <f>VLOOKUP(Vlookup!C264,'CDCM Forecast Data'!$A$14:$I$271,5,FALSE)</f>
        <v>2.6444594802158033E-2</v>
      </c>
      <c r="D297" s="11">
        <f>VLOOKUP(Vlookup!D264,'CDCM Forecast Data'!$A$14:$I$271,5,FALSE)</f>
        <v>0.97355540519784201</v>
      </c>
      <c r="E297" s="7" t="s">
        <v>224</v>
      </c>
      <c r="F297"/>
      <c r="G297"/>
      <c r="H297"/>
      <c r="I297"/>
      <c r="J297"/>
      <c r="K297"/>
    </row>
    <row r="298" spans="1:11" ht="15">
      <c r="A298" s="8" t="s">
        <v>58</v>
      </c>
      <c r="B298" s="11">
        <f>VLOOKUP(Vlookup!B265,'CDCM Forecast Data'!$A$14:$I$271,5,FALSE)</f>
        <v>0</v>
      </c>
      <c r="C298" s="11">
        <f>VLOOKUP(Vlookup!C265,'CDCM Forecast Data'!$A$14:$I$271,5,FALSE)</f>
        <v>0</v>
      </c>
      <c r="D298" s="11">
        <f>VLOOKUP(Vlookup!D265,'CDCM Forecast Data'!$A$14:$I$271,5,FALSE)</f>
        <v>1</v>
      </c>
      <c r="E298" s="7" t="s">
        <v>224</v>
      </c>
      <c r="F298"/>
      <c r="G298"/>
      <c r="H298"/>
      <c r="I298"/>
      <c r="J298"/>
      <c r="K298"/>
    </row>
    <row r="299" spans="1:11" ht="15">
      <c r="A299" s="8" t="s">
        <v>59</v>
      </c>
      <c r="B299" s="11">
        <f>VLOOKUP(Vlookup!B266,'CDCM Forecast Data'!$A$14:$I$271,5,FALSE)</f>
        <v>0</v>
      </c>
      <c r="C299" s="11">
        <f>VLOOKUP(Vlookup!C266,'CDCM Forecast Data'!$A$14:$I$271,5,FALSE)</f>
        <v>0</v>
      </c>
      <c r="D299" s="11">
        <f>VLOOKUP(Vlookup!D266,'CDCM Forecast Data'!$A$14:$I$271,5,FALSE)</f>
        <v>1</v>
      </c>
      <c r="E299" s="7" t="s">
        <v>224</v>
      </c>
      <c r="F299"/>
      <c r="G299"/>
      <c r="H299"/>
      <c r="I299"/>
      <c r="J299"/>
      <c r="K299"/>
    </row>
    <row r="300" spans="1:11" ht="15">
      <c r="A300" s="8" t="s">
        <v>72</v>
      </c>
      <c r="B300" s="11">
        <f>VLOOKUP(Vlookup!B267,'CDCM Forecast Data'!$A$14:$I$271,5,FALSE)</f>
        <v>0</v>
      </c>
      <c r="C300" s="11">
        <f>VLOOKUP(Vlookup!C267,'CDCM Forecast Data'!$A$14:$I$271,5,FALSE)</f>
        <v>0</v>
      </c>
      <c r="D300" s="11">
        <f>VLOOKUP(Vlookup!D267,'CDCM Forecast Data'!$A$14:$I$271,5,FALSE)</f>
        <v>1</v>
      </c>
      <c r="E300" s="7" t="s">
        <v>224</v>
      </c>
      <c r="F300"/>
      <c r="G300"/>
      <c r="H300"/>
      <c r="I300"/>
      <c r="J300"/>
      <c r="K300"/>
    </row>
    <row r="301" spans="1:11" ht="15">
      <c r="A301"/>
      <c r="B301"/>
      <c r="C301"/>
      <c r="D301"/>
      <c r="E301"/>
      <c r="F301"/>
      <c r="G301"/>
      <c r="H301"/>
      <c r="I301"/>
      <c r="J301"/>
      <c r="K301"/>
    </row>
    <row r="302" spans="1:11" ht="19.5">
      <c r="A302" s="1" t="s">
        <v>199</v>
      </c>
      <c r="B302"/>
      <c r="C302"/>
      <c r="D302"/>
      <c r="E302"/>
      <c r="F302"/>
      <c r="G302"/>
      <c r="H302"/>
      <c r="I302"/>
      <c r="J302"/>
      <c r="K302"/>
    </row>
    <row r="303" spans="1:11" ht="15">
      <c r="A303"/>
      <c r="B303"/>
      <c r="C303"/>
      <c r="D303"/>
      <c r="E303"/>
      <c r="F303"/>
      <c r="G303"/>
      <c r="H303"/>
      <c r="I303"/>
      <c r="J303"/>
      <c r="K303"/>
    </row>
    <row r="304" spans="1:11" ht="15">
      <c r="A304"/>
      <c r="B304" s="3" t="s">
        <v>200</v>
      </c>
      <c r="C304" s="3" t="s">
        <v>201</v>
      </c>
      <c r="D304" s="3" t="s">
        <v>197</v>
      </c>
      <c r="E304" t="s">
        <v>224</v>
      </c>
      <c r="F304"/>
      <c r="G304"/>
      <c r="H304"/>
      <c r="I304"/>
      <c r="J304"/>
      <c r="K304"/>
    </row>
    <row r="305" spans="1:11" ht="15">
      <c r="A305" s="8" t="s">
        <v>93</v>
      </c>
      <c r="B305" s="11">
        <f>VLOOKUP(Vlookup!B272,'CDCM Forecast Data'!$A$14:$I$271,5,FALSE)</f>
        <v>1.7335795260789644E-2</v>
      </c>
      <c r="C305" s="11">
        <f>VLOOKUP(Vlookup!C272,'CDCM Forecast Data'!$A$14:$I$271,5,FALSE)</f>
        <v>0.4355228684781795</v>
      </c>
      <c r="D305" s="11">
        <f>VLOOKUP(Vlookup!D272,'CDCM Forecast Data'!$A$14:$I$271,5,FALSE)</f>
        <v>0.54714133626103079</v>
      </c>
      <c r="E305" s="7" t="s">
        <v>224</v>
      </c>
      <c r="F305"/>
      <c r="G305"/>
      <c r="H305"/>
      <c r="I305"/>
      <c r="J305"/>
      <c r="K305"/>
    </row>
    <row r="306" spans="1:11" ht="15">
      <c r="A306" s="8" t="s">
        <v>94</v>
      </c>
      <c r="B306" s="11">
        <f>VLOOKUP(Vlookup!B273,'CDCM Forecast Data'!$A$14:$I$271,5,FALSE)</f>
        <v>3.2847302717098244E-2</v>
      </c>
      <c r="C306" s="11">
        <f>VLOOKUP(Vlookup!C273,'CDCM Forecast Data'!$A$14:$I$271,5,FALSE)</f>
        <v>0.1517630105786926</v>
      </c>
      <c r="D306" s="11">
        <f>VLOOKUP(Vlookup!D273,'CDCM Forecast Data'!$A$14:$I$271,5,FALSE)</f>
        <v>0.81538968670420919</v>
      </c>
      <c r="E306" s="7" t="s">
        <v>224</v>
      </c>
      <c r="F306"/>
      <c r="G306"/>
      <c r="H306"/>
      <c r="I306"/>
      <c r="J306"/>
      <c r="K306"/>
    </row>
    <row r="307" spans="1:11" ht="15">
      <c r="A307" s="8" t="s">
        <v>95</v>
      </c>
      <c r="B307" s="11">
        <f>VLOOKUP(Vlookup!B274,'CDCM Forecast Data'!$A$14:$I$271,5,FALSE)</f>
        <v>5.9273595790326206E-2</v>
      </c>
      <c r="C307" s="11">
        <f>VLOOKUP(Vlookup!C274,'CDCM Forecast Data'!$A$14:$I$271,5,FALSE)</f>
        <v>0.24811484564374295</v>
      </c>
      <c r="D307" s="11">
        <f>VLOOKUP(Vlookup!D274,'CDCM Forecast Data'!$A$14:$I$271,5,FALSE)</f>
        <v>0.69261155856593071</v>
      </c>
      <c r="E307" s="7" t="s">
        <v>224</v>
      </c>
      <c r="F307"/>
      <c r="G307"/>
      <c r="H307"/>
      <c r="I307"/>
      <c r="J307"/>
      <c r="K307"/>
    </row>
    <row r="308" spans="1:11" ht="15">
      <c r="A308" s="8" t="s">
        <v>96</v>
      </c>
      <c r="B308" s="11">
        <f>VLOOKUP(Vlookup!B275,'CDCM Forecast Data'!$A$14:$I$271,5,FALSE)</f>
        <v>2.4492897224272499E-3</v>
      </c>
      <c r="C308" s="11">
        <f>VLOOKUP(Vlookup!C275,'CDCM Forecast Data'!$A$14:$I$271,5,FALSE)</f>
        <v>0.69957381670812457</v>
      </c>
      <c r="D308" s="11">
        <f>VLOOKUP(Vlookup!D275,'CDCM Forecast Data'!$A$14:$I$271,5,FALSE)</f>
        <v>0.29797689356944818</v>
      </c>
      <c r="E308" s="7" t="s">
        <v>224</v>
      </c>
      <c r="F308"/>
      <c r="G308"/>
      <c r="H308"/>
      <c r="I308"/>
      <c r="J308"/>
      <c r="K308"/>
    </row>
    <row r="309" spans="1:11" ht="15">
      <c r="A309"/>
      <c r="B309"/>
      <c r="C309"/>
      <c r="D309"/>
      <c r="E309"/>
      <c r="F309"/>
      <c r="G309"/>
      <c r="H309"/>
      <c r="I309"/>
      <c r="J309"/>
      <c r="K309"/>
    </row>
    <row r="310" spans="1:11" ht="19.5">
      <c r="A310" s="1" t="s">
        <v>202</v>
      </c>
      <c r="B310"/>
      <c r="C310"/>
      <c r="D310"/>
      <c r="E310"/>
      <c r="F310"/>
      <c r="G310"/>
      <c r="H310"/>
      <c r="I310"/>
      <c r="J310"/>
      <c r="K310"/>
    </row>
    <row r="311" spans="1:11" ht="15">
      <c r="A311" s="2" t="s">
        <v>203</v>
      </c>
      <c r="B311"/>
      <c r="C311"/>
      <c r="D311"/>
      <c r="E311"/>
      <c r="F311"/>
      <c r="G311"/>
      <c r="H311"/>
      <c r="I311"/>
      <c r="J311"/>
      <c r="K311"/>
    </row>
    <row r="312" spans="1:11" ht="15">
      <c r="A312" s="2" t="s">
        <v>204</v>
      </c>
      <c r="B312"/>
      <c r="C312"/>
      <c r="D312"/>
      <c r="E312"/>
      <c r="F312"/>
      <c r="G312"/>
      <c r="H312"/>
      <c r="I312"/>
      <c r="J312"/>
      <c r="K312"/>
    </row>
    <row r="313" spans="1:11" ht="15">
      <c r="A313"/>
      <c r="B313"/>
      <c r="C313"/>
      <c r="D313"/>
      <c r="E313"/>
      <c r="F313"/>
      <c r="G313"/>
      <c r="H313"/>
      <c r="I313"/>
      <c r="J313"/>
      <c r="K313"/>
    </row>
    <row r="314" spans="1:11" ht="15">
      <c r="A314"/>
      <c r="B314" s="284" t="s">
        <v>200</v>
      </c>
      <c r="C314" s="284" t="s">
        <v>201</v>
      </c>
      <c r="D314" s="284" t="s">
        <v>197</v>
      </c>
      <c r="E314"/>
      <c r="F314"/>
      <c r="G314"/>
      <c r="H314"/>
      <c r="I314"/>
      <c r="J314"/>
      <c r="K314"/>
    </row>
    <row r="315" spans="1:11" ht="15">
      <c r="A315" s="8" t="s">
        <v>205</v>
      </c>
      <c r="B315" s="14">
        <f>VLOOKUP(Vlookup!B282,'CDCM Forecast Data'!$A$14:$I$271,5,FALSE)</f>
        <v>152</v>
      </c>
      <c r="C315" s="14">
        <f>VLOOKUP(Vlookup!C282,'CDCM Forecast Data'!$A$14:$I$271,5,FALSE)</f>
        <v>3803</v>
      </c>
      <c r="D315" s="14">
        <f>VLOOKUP(Vlookup!D282,'CDCM Forecast Data'!$A$14:$I$271,5,FALSE)</f>
        <v>4805</v>
      </c>
      <c r="E315" s="7" t="s">
        <v>224</v>
      </c>
      <c r="F315"/>
      <c r="G315"/>
      <c r="H315"/>
      <c r="I315"/>
      <c r="J315"/>
      <c r="K315"/>
    </row>
    <row r="316" spans="1:11" ht="15">
      <c r="A316"/>
      <c r="B316"/>
      <c r="C316"/>
      <c r="D316"/>
      <c r="E316"/>
      <c r="F316"/>
      <c r="G316"/>
      <c r="H316"/>
      <c r="I316"/>
      <c r="J316"/>
      <c r="K316"/>
    </row>
    <row r="317" spans="1:11" ht="19.5">
      <c r="A317" s="1" t="s">
        <v>206</v>
      </c>
      <c r="B317"/>
      <c r="C317"/>
      <c r="D317"/>
      <c r="E317"/>
      <c r="F317"/>
      <c r="G317"/>
      <c r="H317"/>
      <c r="I317"/>
      <c r="J317"/>
      <c r="K317"/>
    </row>
    <row r="318" spans="1:11" ht="15">
      <c r="A318" s="2"/>
      <c r="B318"/>
      <c r="C318"/>
      <c r="D318"/>
      <c r="E318"/>
      <c r="F318"/>
      <c r="G318"/>
      <c r="H318"/>
      <c r="I318"/>
      <c r="J318"/>
      <c r="K318"/>
    </row>
    <row r="319" spans="1:11" ht="15">
      <c r="A319" s="2" t="s">
        <v>203</v>
      </c>
      <c r="B319"/>
      <c r="C319"/>
      <c r="D319"/>
      <c r="E319"/>
      <c r="F319"/>
      <c r="G319"/>
      <c r="H319"/>
      <c r="I319"/>
      <c r="J319"/>
      <c r="K319"/>
    </row>
    <row r="320" spans="1:11" ht="15">
      <c r="A320" t="s">
        <v>204</v>
      </c>
      <c r="B320"/>
      <c r="C320"/>
      <c r="D320"/>
      <c r="E320"/>
      <c r="F320"/>
      <c r="G320"/>
      <c r="H320"/>
      <c r="I320"/>
      <c r="J320"/>
      <c r="K320"/>
    </row>
    <row r="321" spans="1:11" ht="15">
      <c r="A321"/>
      <c r="B321" s="3" t="s">
        <v>195</v>
      </c>
      <c r="C321" s="3" t="s">
        <v>196</v>
      </c>
      <c r="D321" s="3" t="s">
        <v>197</v>
      </c>
      <c r="E321"/>
      <c r="F321"/>
      <c r="G321"/>
      <c r="H321"/>
      <c r="I321"/>
      <c r="J321"/>
      <c r="K321"/>
    </row>
    <row r="322" spans="1:11" ht="15">
      <c r="A322" s="8" t="s">
        <v>205</v>
      </c>
      <c r="B322" s="14">
        <f>VLOOKUP(Vlookup!B289,'CDCM Forecast Data'!$A$14:$I$271,5,FALSE)</f>
        <v>520</v>
      </c>
      <c r="C322" s="14">
        <f>VLOOKUP(Vlookup!C289,'CDCM Forecast Data'!$A$14:$I$271,5,FALSE)</f>
        <v>3435</v>
      </c>
      <c r="D322" s="14">
        <f>VLOOKUP(Vlookup!D289,'CDCM Forecast Data'!$A$14:$I$271,5,FALSE)</f>
        <v>4805</v>
      </c>
      <c r="E322" s="7" t="s">
        <v>224</v>
      </c>
      <c r="F322"/>
      <c r="G322"/>
      <c r="H322"/>
      <c r="I322"/>
      <c r="J322"/>
      <c r="K322"/>
    </row>
    <row r="323" spans="1:11" ht="15">
      <c r="A323"/>
      <c r="B323"/>
      <c r="C323"/>
      <c r="D323"/>
      <c r="E323"/>
      <c r="F323"/>
      <c r="G323"/>
      <c r="H323"/>
      <c r="I323"/>
      <c r="J323"/>
      <c r="K323"/>
    </row>
    <row r="324" spans="1:11" ht="19.5">
      <c r="A324" s="1" t="s">
        <v>207</v>
      </c>
      <c r="B324"/>
      <c r="C324"/>
      <c r="D324"/>
      <c r="E324"/>
      <c r="F324"/>
      <c r="G324"/>
      <c r="H324"/>
      <c r="I324"/>
      <c r="J324"/>
      <c r="K324"/>
    </row>
    <row r="325" spans="1:11" ht="15">
      <c r="A325" s="2"/>
      <c r="B325"/>
      <c r="C325"/>
      <c r="D325"/>
      <c r="E325"/>
      <c r="F325"/>
      <c r="G325"/>
      <c r="H325"/>
      <c r="I325"/>
      <c r="J325"/>
      <c r="K325"/>
    </row>
    <row r="326" spans="1:11" ht="15">
      <c r="A326"/>
      <c r="B326"/>
      <c r="C326"/>
      <c r="D326"/>
      <c r="E326"/>
      <c r="F326"/>
      <c r="G326"/>
      <c r="H326"/>
      <c r="I326"/>
      <c r="J326"/>
      <c r="K326"/>
    </row>
    <row r="327" spans="1:11" ht="15">
      <c r="A327" t="s">
        <v>208</v>
      </c>
      <c r="B327" s="15"/>
      <c r="C327" s="15"/>
      <c r="D327" s="15"/>
      <c r="E327"/>
      <c r="F327"/>
      <c r="G327"/>
      <c r="H327"/>
      <c r="I327"/>
      <c r="J327"/>
      <c r="K327"/>
    </row>
    <row r="328" spans="1:11" ht="15">
      <c r="A328"/>
      <c r="B328" s="3" t="s">
        <v>195</v>
      </c>
      <c r="C328" s="3" t="s">
        <v>196</v>
      </c>
      <c r="D328" s="3" t="s">
        <v>197</v>
      </c>
      <c r="E328" s="3" t="s">
        <v>200</v>
      </c>
      <c r="F328"/>
      <c r="G328"/>
      <c r="H328"/>
      <c r="I328"/>
      <c r="J328"/>
      <c r="K328"/>
    </row>
    <row r="329" spans="1:11" ht="15">
      <c r="A329" s="8" t="s">
        <v>22</v>
      </c>
      <c r="B329" s="11">
        <f>VLOOKUP(Vlookup!B295,'CDCM Forecast Data'!$A$14:$I$271,5,FALSE)</f>
        <v>1</v>
      </c>
      <c r="C329" s="11">
        <f>VLOOKUP(Vlookup!C295,'CDCM Forecast Data'!$A$14:$I$271,5,FALSE)</f>
        <v>0</v>
      </c>
      <c r="D329" s="11">
        <f>VLOOKUP(Vlookup!D295,'CDCM Forecast Data'!$A$14:$I$271,5,FALSE)</f>
        <v>0</v>
      </c>
      <c r="E329" s="11">
        <f>VLOOKUP(Vlookup!E295,'CDCM Forecast Data'!$A$14:$I$271,5,FALSE)</f>
        <v>0.92156483159064961</v>
      </c>
      <c r="F329" s="7" t="s">
        <v>224</v>
      </c>
      <c r="G329"/>
      <c r="H329"/>
      <c r="I329"/>
      <c r="J329"/>
      <c r="K329"/>
    </row>
    <row r="330" spans="1:11" ht="15">
      <c r="A330" s="8" t="s">
        <v>23</v>
      </c>
      <c r="B330" s="11">
        <f>VLOOKUP(Vlookup!B296,'CDCM Forecast Data'!$A$14:$I$271,5,FALSE)</f>
        <v>0.84421935577541152</v>
      </c>
      <c r="C330" s="11">
        <f>VLOOKUP(Vlookup!C296,'CDCM Forecast Data'!$A$14:$I$271,5,FALSE)</f>
        <v>9.0147705546417975E-2</v>
      </c>
      <c r="D330" s="11">
        <f>VLOOKUP(Vlookup!D296,'CDCM Forecast Data'!$A$14:$I$271,5,FALSE)</f>
        <v>6.5632938678170452E-2</v>
      </c>
      <c r="E330" s="11">
        <f>VLOOKUP(Vlookup!E296,'CDCM Forecast Data'!$A$14:$I$271,5,FALSE)</f>
        <v>0.8059370919906842</v>
      </c>
      <c r="F330" s="7" t="s">
        <v>224</v>
      </c>
      <c r="G330"/>
      <c r="H330"/>
      <c r="I330"/>
      <c r="J330"/>
      <c r="K330"/>
    </row>
    <row r="331" spans="1:11" ht="15">
      <c r="A331" s="8" t="s">
        <v>24</v>
      </c>
      <c r="B331" s="11">
        <f>VLOOKUP(Vlookup!B297,'CDCM Forecast Data'!$A$14:$I$271,5,FALSE)</f>
        <v>0.84421935577541152</v>
      </c>
      <c r="C331" s="11">
        <f>VLOOKUP(Vlookup!C297,'CDCM Forecast Data'!$A$14:$I$271,5,FALSE)</f>
        <v>9.0147705546417975E-2</v>
      </c>
      <c r="D331" s="11">
        <f>VLOOKUP(Vlookup!D297,'CDCM Forecast Data'!$A$14:$I$271,5,FALSE)</f>
        <v>6.5632938678170452E-2</v>
      </c>
      <c r="E331" s="11">
        <f>VLOOKUP(Vlookup!E297,'CDCM Forecast Data'!$A$14:$I$271,5,FALSE)</f>
        <v>0.8059370919906842</v>
      </c>
      <c r="F331" s="7" t="s">
        <v>224</v>
      </c>
      <c r="G331"/>
      <c r="H331"/>
      <c r="I331"/>
      <c r="J331"/>
      <c r="K331"/>
    </row>
    <row r="332" spans="1:11" ht="15">
      <c r="A332" s="8" t="s">
        <v>25</v>
      </c>
      <c r="B332" s="11">
        <f>VLOOKUP(Vlookup!B298,'CDCM Forecast Data'!$A$14:$I$271,5,FALSE)</f>
        <v>0.60266573066353191</v>
      </c>
      <c r="C332" s="11">
        <f>VLOOKUP(Vlookup!C298,'CDCM Forecast Data'!$A$14:$I$271,5,FALSE)</f>
        <v>0.31015129614903031</v>
      </c>
      <c r="D332" s="11">
        <f>VLOOKUP(Vlookup!D298,'CDCM Forecast Data'!$A$14:$I$271,5,FALSE)</f>
        <v>8.7182973187437854E-2</v>
      </c>
      <c r="E332" s="11">
        <f>VLOOKUP(Vlookup!E298,'CDCM Forecast Data'!$A$14:$I$271,5,FALSE)</f>
        <v>0.53548212993836886</v>
      </c>
      <c r="F332" s="7" t="s">
        <v>224</v>
      </c>
      <c r="G332"/>
      <c r="H332"/>
      <c r="I332"/>
      <c r="J332"/>
      <c r="K332"/>
    </row>
    <row r="333" spans="1:11" ht="15">
      <c r="A333" s="8" t="s">
        <v>26</v>
      </c>
      <c r="B333" s="11">
        <f>VLOOKUP(Vlookup!B299,'CDCM Forecast Data'!$A$14:$I$271,5,FALSE)</f>
        <v>0.60266573066353191</v>
      </c>
      <c r="C333" s="11">
        <f>VLOOKUP(Vlookup!C299,'CDCM Forecast Data'!$A$14:$I$271,5,FALSE)</f>
        <v>0.31015129614903031</v>
      </c>
      <c r="D333" s="11">
        <f>VLOOKUP(Vlookup!D299,'CDCM Forecast Data'!$A$14:$I$271,5,FALSE)</f>
        <v>8.7182973187437854E-2</v>
      </c>
      <c r="E333" s="11">
        <f>VLOOKUP(Vlookup!E299,'CDCM Forecast Data'!$A$14:$I$271,5,FALSE)</f>
        <v>0.53548212993836886</v>
      </c>
      <c r="F333" s="7" t="s">
        <v>224</v>
      </c>
      <c r="G333"/>
      <c r="H333"/>
      <c r="I333"/>
      <c r="J333"/>
      <c r="K333"/>
    </row>
    <row r="334" spans="1:11" ht="15">
      <c r="A334" s="8" t="s">
        <v>31</v>
      </c>
      <c r="B334" s="11">
        <f>VLOOKUP(Vlookup!B300,'CDCM Forecast Data'!$A$14:$I$271,5,FALSE)</f>
        <v>0.84421935577541152</v>
      </c>
      <c r="C334" s="11">
        <f>VLOOKUP(Vlookup!C300,'CDCM Forecast Data'!$A$14:$I$271,5,FALSE)</f>
        <v>9.0147705546417975E-2</v>
      </c>
      <c r="D334" s="11">
        <f>VLOOKUP(Vlookup!D300,'CDCM Forecast Data'!$A$14:$I$271,5,FALSE)</f>
        <v>6.5632938678170452E-2</v>
      </c>
      <c r="E334" s="11">
        <f>VLOOKUP(Vlookup!E300,'CDCM Forecast Data'!$A$14:$I$271,5,FALSE)</f>
        <v>0.8059370919906842</v>
      </c>
      <c r="F334" s="7" t="s">
        <v>224</v>
      </c>
      <c r="G334"/>
      <c r="H334"/>
      <c r="I334"/>
      <c r="J334"/>
      <c r="K334"/>
    </row>
    <row r="335" spans="1:11" ht="15">
      <c r="A335" s="8" t="s">
        <v>27</v>
      </c>
      <c r="B335" s="11">
        <f>VLOOKUP(Vlookup!B301,'CDCM Forecast Data'!$A$14:$I$271,5,FALSE)</f>
        <v>0.60266573066353191</v>
      </c>
      <c r="C335" s="11">
        <f>VLOOKUP(Vlookup!C301,'CDCM Forecast Data'!$A$14:$I$271,5,FALSE)</f>
        <v>0.31015129614903031</v>
      </c>
      <c r="D335" s="11">
        <f>VLOOKUP(Vlookup!D301,'CDCM Forecast Data'!$A$14:$I$271,5,FALSE)</f>
        <v>8.7182973187437854E-2</v>
      </c>
      <c r="E335" s="11">
        <f>VLOOKUP(Vlookup!E301,'CDCM Forecast Data'!$A$14:$I$271,5,FALSE)</f>
        <v>0.53548212993836886</v>
      </c>
      <c r="F335" s="7" t="s">
        <v>224</v>
      </c>
      <c r="G335"/>
      <c r="H335"/>
      <c r="I335"/>
      <c r="J335"/>
      <c r="K335"/>
    </row>
    <row r="336" spans="1:11" ht="15">
      <c r="A336" s="8" t="s">
        <v>28</v>
      </c>
      <c r="B336" s="11">
        <f>VLOOKUP(Vlookup!B302,'CDCM Forecast Data'!$A$14:$I$271,5,FALSE)</f>
        <v>0.60266573066353191</v>
      </c>
      <c r="C336" s="11">
        <f>VLOOKUP(Vlookup!C302,'CDCM Forecast Data'!$A$14:$I$271,5,FALSE)</f>
        <v>0.31015129614903031</v>
      </c>
      <c r="D336" s="11">
        <f>VLOOKUP(Vlookup!D302,'CDCM Forecast Data'!$A$14:$I$271,5,FALSE)</f>
        <v>8.7182973187437854E-2</v>
      </c>
      <c r="E336" s="11">
        <f>VLOOKUP(Vlookup!E302,'CDCM Forecast Data'!$A$14:$I$271,5,FALSE)</f>
        <v>0.53548212993836886</v>
      </c>
      <c r="F336" s="7" t="s">
        <v>224</v>
      </c>
      <c r="G336"/>
      <c r="H336"/>
      <c r="I336"/>
      <c r="J336"/>
      <c r="K336"/>
    </row>
    <row r="337" spans="1:11" ht="15">
      <c r="A337" s="8" t="s">
        <v>29</v>
      </c>
      <c r="B337" s="11">
        <f>VLOOKUP(Vlookup!B303,'CDCM Forecast Data'!$A$14:$I$271,5,FALSE)</f>
        <v>0.60266573066353191</v>
      </c>
      <c r="C337" s="11">
        <f>VLOOKUP(Vlookup!C303,'CDCM Forecast Data'!$A$14:$I$271,5,FALSE)</f>
        <v>0.31015129614903031</v>
      </c>
      <c r="D337" s="11">
        <f>VLOOKUP(Vlookup!D303,'CDCM Forecast Data'!$A$14:$I$271,5,FALSE)</f>
        <v>8.7182973187437854E-2</v>
      </c>
      <c r="E337" s="11">
        <f>VLOOKUP(Vlookup!E303,'CDCM Forecast Data'!$A$14:$I$271,5,FALSE)</f>
        <v>0.53548212993836886</v>
      </c>
      <c r="F337" s="7" t="s">
        <v>224</v>
      </c>
      <c r="G337"/>
      <c r="H337"/>
      <c r="I337"/>
      <c r="J337"/>
      <c r="K337"/>
    </row>
    <row r="338" spans="1:11" ht="15">
      <c r="A338"/>
      <c r="B338"/>
      <c r="C338"/>
      <c r="D338"/>
      <c r="E338"/>
      <c r="F338"/>
      <c r="G338"/>
      <c r="H338"/>
      <c r="I338"/>
      <c r="J338"/>
      <c r="K338"/>
    </row>
    <row r="339" spans="1:11" ht="19.5">
      <c r="A339" s="1" t="s">
        <v>1166</v>
      </c>
      <c r="B339"/>
      <c r="C339"/>
      <c r="D339"/>
      <c r="E339"/>
      <c r="F339"/>
      <c r="G339"/>
      <c r="H339"/>
      <c r="I339"/>
      <c r="J339"/>
      <c r="K339"/>
    </row>
    <row r="340" spans="1:11" ht="15">
      <c r="A340" s="2" t="s">
        <v>1165</v>
      </c>
      <c r="B340"/>
      <c r="C340"/>
      <c r="D340"/>
      <c r="E340"/>
      <c r="F340"/>
      <c r="G340"/>
      <c r="H340"/>
      <c r="I340"/>
      <c r="J340"/>
      <c r="K340"/>
    </row>
    <row r="341" spans="1:11" ht="15">
      <c r="A341"/>
      <c r="B341"/>
      <c r="C341"/>
      <c r="D341"/>
      <c r="E341"/>
      <c r="F341"/>
      <c r="G341"/>
      <c r="H341"/>
      <c r="I341"/>
      <c r="J341"/>
      <c r="K341"/>
    </row>
    <row r="342" spans="1:11" ht="30">
      <c r="A342"/>
      <c r="B342" s="3" t="s">
        <v>1164</v>
      </c>
      <c r="C342"/>
      <c r="D342"/>
      <c r="E342"/>
      <c r="F342"/>
      <c r="G342"/>
      <c r="H342"/>
      <c r="I342"/>
      <c r="J342"/>
      <c r="K342"/>
    </row>
    <row r="343" spans="1:11" ht="15">
      <c r="A343" s="8" t="s">
        <v>1164</v>
      </c>
      <c r="B343" s="10">
        <f>1000000*'Table 1'!F48</f>
        <v>335873204.25054896</v>
      </c>
      <c r="C343" s="7"/>
      <c r="D343"/>
      <c r="E343"/>
      <c r="F343"/>
      <c r="G343"/>
      <c r="H343"/>
      <c r="I343"/>
      <c r="J343"/>
      <c r="K343"/>
    </row>
    <row r="344" spans="1:11" ht="15">
      <c r="A344"/>
      <c r="B344"/>
      <c r="C344"/>
      <c r="D344"/>
      <c r="E344"/>
      <c r="F344"/>
      <c r="G344"/>
      <c r="H344"/>
      <c r="I344"/>
      <c r="J344"/>
      <c r="K344"/>
    </row>
    <row r="345" spans="1:11" ht="19.5">
      <c r="A345" s="1" t="s">
        <v>210</v>
      </c>
      <c r="B345"/>
      <c r="C345"/>
      <c r="D345"/>
      <c r="E345"/>
      <c r="F345"/>
      <c r="G345"/>
      <c r="H345"/>
      <c r="I345"/>
      <c r="J345"/>
      <c r="K345"/>
    </row>
    <row r="346" spans="1:11" ht="15">
      <c r="A346" s="2" t="s">
        <v>224</v>
      </c>
      <c r="B346"/>
      <c r="C346"/>
      <c r="D346"/>
      <c r="E346"/>
      <c r="F346"/>
      <c r="G346"/>
      <c r="H346"/>
      <c r="I346"/>
      <c r="J346"/>
      <c r="K346"/>
    </row>
    <row r="347" spans="1:11" ht="15">
      <c r="A347" s="2" t="s">
        <v>211</v>
      </c>
      <c r="B347"/>
      <c r="C347"/>
      <c r="D347"/>
      <c r="E347"/>
      <c r="F347"/>
      <c r="G347"/>
      <c r="H347"/>
      <c r="I347"/>
      <c r="J347"/>
      <c r="K347"/>
    </row>
    <row r="348" spans="1:11" ht="15">
      <c r="A348" t="s">
        <v>212</v>
      </c>
      <c r="B348"/>
      <c r="C348"/>
      <c r="D348"/>
      <c r="E348"/>
      <c r="F348"/>
      <c r="G348"/>
      <c r="H348"/>
      <c r="I348"/>
      <c r="J348"/>
      <c r="K348"/>
    </row>
    <row r="349" spans="1:11" ht="15">
      <c r="A349"/>
      <c r="B349" s="3" t="s">
        <v>22</v>
      </c>
      <c r="C349" s="3" t="s">
        <v>23</v>
      </c>
      <c r="D349" s="3" t="s">
        <v>24</v>
      </c>
      <c r="E349" s="3" t="s">
        <v>25</v>
      </c>
      <c r="F349" s="3" t="s">
        <v>26</v>
      </c>
      <c r="G349" s="3" t="s">
        <v>31</v>
      </c>
      <c r="H349" s="3" t="s">
        <v>27</v>
      </c>
      <c r="I349" s="3" t="s">
        <v>28</v>
      </c>
      <c r="J349" s="3" t="s">
        <v>29</v>
      </c>
      <c r="K349"/>
    </row>
    <row r="350" spans="1:11" ht="15">
      <c r="A350" s="8" t="s">
        <v>213</v>
      </c>
      <c r="B350" s="4">
        <f>VLOOKUP(Vlookup!B310,'CDCM Forecast Data'!$A$14:$I$271,5,FALSE)</f>
        <v>0.19278921811900199</v>
      </c>
      <c r="C350" s="4">
        <f>VLOOKUP(Vlookup!C310,'CDCM Forecast Data'!$A$14:$I$271,5,FALSE)</f>
        <v>0.19278921811900199</v>
      </c>
      <c r="D350" s="4">
        <f>VLOOKUP(Vlookup!D310,'CDCM Forecast Data'!$A$14:$I$271,5,FALSE)</f>
        <v>0.19278921811900199</v>
      </c>
      <c r="E350" s="4">
        <f>VLOOKUP(Vlookup!E310,'CDCM Forecast Data'!$A$14:$I$271,5,FALSE)</f>
        <v>0.19278921811900199</v>
      </c>
      <c r="F350" s="4">
        <f>VLOOKUP(Vlookup!F310,'CDCM Forecast Data'!$A$14:$I$271,5,FALSE)</f>
        <v>0.19278921811900199</v>
      </c>
      <c r="G350" s="4">
        <f>VLOOKUP(Vlookup!G310,'CDCM Forecast Data'!$A$14:$I$271,5,FALSE)</f>
        <v>0.19278921811900199</v>
      </c>
      <c r="H350" s="4">
        <f>VLOOKUP(Vlookup!H310,'CDCM Forecast Data'!$A$14:$I$271,5,FALSE)</f>
        <v>0.19278921811900199</v>
      </c>
      <c r="I350" s="4">
        <f>VLOOKUP(Vlookup!I310,'CDCM Forecast Data'!$A$14:$I$271,5,FALSE)</f>
        <v>0.19278921811900199</v>
      </c>
      <c r="J350" s="4">
        <f>VLOOKUP(Vlookup!J310,'CDCM Forecast Data'!$A$14:$I$271,5,FALSE)</f>
        <v>0.19278921811900199</v>
      </c>
      <c r="K350" s="7" t="s">
        <v>224</v>
      </c>
    </row>
  </sheetData>
  <dataValidations count="7">
    <dataValidation type="decimal" allowBlank="1" showInputMessage="1" showErrorMessage="1" errorTitle="Invalid customer contribution" error="The customer contribution must be a non-negative percentage value." sqref="I276:I278 F278:G278 H277:H278">
      <formula1>0</formula1>
      <formula2>4</formula2>
    </dataValidation>
    <dataValidation type="decimal" allowBlank="1" showInputMessage="1" showErrorMessage="1" error="The coincidence factor must be between 0% and 100%." sqref="B124 B127">
      <formula1>0</formula1>
      <formula2>1</formula2>
    </dataValidation>
    <dataValidation type="decimal" allowBlank="1" showInputMessage="1" showErrorMessage="1" error="The LDNO discount must be between 0% and 100%." sqref="B116">
      <formula1>0</formula1>
      <formula2>1</formula2>
    </dataValidation>
    <dataValidation type="decimal" allowBlank="1" showInputMessage="1" showErrorMessage="1" error="The number in this cell must be between 0% and 100%." sqref="B94:I94 B68:I87 B99:F104">
      <formula1>0</formula1>
      <formula2>1</formula2>
    </dataValidation>
    <dataValidation type="decimal" operator="greaterThanOrEqual" allowBlank="1" showInputMessage="1" showErrorMessage="1" sqref="B343">
      <formula1>0</formula1>
    </dataValidation>
    <dataValidation type="decimal" operator="greaterThanOrEqual" allowBlank="1" showInputMessage="1" showErrorMessage="1" errorTitle="Volume data error" error="The volume must be a non-negative number." sqref="F223:H224 F256:H256 F230:H230 F226:G228 F236:H236 F232:G234 F241:H241 F238:G239 F246:H246 F243:G244 F251:H251 F248:G249 F215:H217 F219:H221 F211:H213 F207:H209 F203:H205 F199:H201 D173:D175 D177 D179 F185:H187 F181:H183 F179:H179 F177:H177 F173:H175 F169:H171 D165:D167 F161:H163 C157:D159 F153:H155 C149:D151 F149:H151 D153:D155 F157:H159 C161:D163 F165:H167 C169:D171 C199:D201 C203:D205 C207:D209 C211:D213 C219:D221 C223:D224 C226:D228 C230:D230 C238:D239 C241:D241 C248:D249 C251:D251 F253:G254">
      <formula1>0</formula1>
    </dataValidation>
    <dataValidation type="textLength" operator="equal" allowBlank="1" showInputMessage="1" showErrorMessage="1" error="This cell should remain blank." sqref="B225:H225 B229:H229 B231:H231 B235:H235 B237:H237 B240:H240 B242:H242 B245:H245 B247:H247 B250:H250 B252:H252 B255:H255 B218:H218 B148:H148 B152:H152 B214:H214 B210:H210 B206:H206 B202:H202 B184:H184 B180:H180 B178:H178 B176:H176 B169:B171 B168:H168 B164:H164 B160:H160 B156:H156 B222:H222 B149:B151 E149:E151 B153:C155 E153:E155 E157:E159 B157:B159 B161:B163 E161:E163 E165:E167 B165:C167 H253:H254 B173:C175 E169:E175 B177:C177 E177 B179:C179 E179 B181:E183 B185:E187 B188:H198 B199:B201 E199:E201 B203:B205 E203:E205 B207:B209 E207:E209 B211:B213 E211:E213 B215:E217 B219:B221 E219:E221 B223:B224 E223:E224 B226:B228 E226:E228 B230 E230 B232:E234 B236:E236 B238:B239 E238:E239 B241 E241 H248:H249 B243:E244 B246:E246 B253:E254 B248:B249 E248:E249 B251 E251 H226:H228 H232:H234 H238:H239 B256:E256 H243:H244 B172:D172 F172:H172">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8</DocumentCategory>
    <DateLastActivated1 xmlns="c7312139-f4c2-453d-a4c8-c631b6303d87">2014-11-19T15:44:25+00:00</DateLastActivated1>
    <Commitees xmlns="c7312139-f4c2-453d-a4c8-c631b6303d87"/>
    <DocNotes xmlns="c7312139-f4c2-453d-a4c8-c631b6303d87" xsi:nil="true"/>
    <Activities xmlns="c7312139-f4c2-453d-a4c8-c631b6303d87"/>
    <Issues xmlns="c7312139-f4c2-453d-a4c8-c631b6303d87"/>
    <PublishDate xmlns="c7312139-f4c2-453d-a4c8-c631b6303d87">2016-11-28T00:00:00+00:00</PublishDate>
    <ChangeProposal1 xmlns="c7312139-f4c2-453d-a4c8-c631b6303d87"/>
    <Confidential1 xmlns="c7312139-f4c2-453d-a4c8-c631b6303d87">false</Confidential1>
    <DocType xmlns="c7312139-f4c2-453d-a4c8-c631b6303d87">11</DocType>
    <Restricted xmlns="830862f3-40c2-43d5-9778-1909aaa95bc7">false</Restricted>
    <DateLastDeactivated1 xmlns="c7312139-f4c2-453d-a4c8-c631b6303d87" xsi:nil="true"/>
    <DocVersion xmlns="c7312139-f4c2-453d-a4c8-c631b6303d87" xsi:nil="true"/>
    <Archived xmlns="c7312139-f4c2-453d-a4c8-c631b6303d87">false</Archived>
    <SQLID xmlns="c7312139-f4c2-453d-a4c8-c631b6303d8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3" ma:contentTypeDescription="Create a new document." ma:contentTypeScope="" ma:versionID="f2f8e94f420f34fde909ad83e0196b9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F73F13-3287-4BE3-875D-CF6E353A0137}">
  <ds:schemaRefs>
    <ds:schemaRef ds:uri="http://schemas.microsoft.com/sharepoint/v3/contenttype/forms"/>
  </ds:schemaRefs>
</ds:datastoreItem>
</file>

<file path=customXml/itemProps2.xml><?xml version="1.0" encoding="utf-8"?>
<ds:datastoreItem xmlns:ds="http://schemas.openxmlformats.org/officeDocument/2006/customXml" ds:itemID="{BBD4180D-3690-4270-81D8-07CE69502BD2}">
  <ds:schemaRefs>
    <ds:schemaRef ds:uri="http://schemas.microsoft.com/sharepoint/events"/>
  </ds:schemaRefs>
</ds:datastoreItem>
</file>

<file path=customXml/itemProps3.xml><?xml version="1.0" encoding="utf-8"?>
<ds:datastoreItem xmlns:ds="http://schemas.openxmlformats.org/officeDocument/2006/customXml" ds:itemID="{28613E7E-6246-4F41-8AFB-63CB473F2CB9}">
  <ds:schemaRefs>
    <ds:schemaRef ds:uri="http://purl.org/dc/elements/1.1/"/>
    <ds:schemaRef ds:uri="830862f3-40c2-43d5-9778-1909aaa95bc7"/>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http://www.w3.org/XML/1998/namespace"/>
    <ds:schemaRef ds:uri="c7312139-f4c2-453d-a4c8-c631b6303d87"/>
  </ds:schemaRefs>
</ds:datastoreItem>
</file>

<file path=customXml/itemProps4.xml><?xml version="1.0" encoding="utf-8"?>
<ds:datastoreItem xmlns:ds="http://schemas.openxmlformats.org/officeDocument/2006/customXml" ds:itemID="{133B08B4-AF34-4570-A5C0-57E25A54D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Overview</vt:lpstr>
      <vt:lpstr>Commentary</vt:lpstr>
      <vt:lpstr>CDCM Forecast Data</vt:lpstr>
      <vt:lpstr>Table 1</vt:lpstr>
      <vt:lpstr>Smoothed Input Details</vt:lpstr>
      <vt:lpstr>Mat of App</vt:lpstr>
      <vt:lpstr>CDCM Volume Forecasts</vt:lpstr>
      <vt:lpstr>CDCM Timebands</vt:lpstr>
      <vt:lpstr>(Y)</vt:lpstr>
      <vt:lpstr>(Y+1)</vt:lpstr>
      <vt:lpstr>(Y+2)</vt:lpstr>
      <vt:lpstr>(Y+3)</vt:lpstr>
      <vt:lpstr>(Y+4)</vt:lpstr>
      <vt:lpstr>Tariffs ARP</vt:lpstr>
      <vt:lpstr>Typical Bill</vt:lpstr>
      <vt:lpstr>Vlookup</vt:lpstr>
      <vt:lpstr>Tariffs</vt:lpstr>
      <vt:lpstr>Summary</vt:lpstr>
      <vt:lpstr>CDCM</vt:lpstr>
      <vt:lpstr>Vlookup!Forcast_Data</vt:lpstr>
      <vt:lpstr>CDCM!Print_Area</vt:lpstr>
      <vt:lpstr>'Table 1'!Print_Area</vt:lpstr>
      <vt:lpstr>'Typical Bill'!Print_Area</vt:lpstr>
      <vt:lpstr>'Typical Bill'!Print_Titles</vt:lpstr>
      <vt:lpstr>Vlookup!Volume_Forecast_Data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ARP_01 April 2018 Pre-Release</dc:title>
  <dc:creator>Shankar</dc:creator>
  <cp:lastModifiedBy>Wornell, Dave I.</cp:lastModifiedBy>
  <cp:lastPrinted>2014-07-28T14:23:05Z</cp:lastPrinted>
  <dcterms:created xsi:type="dcterms:W3CDTF">2014-01-20T03:17:41Z</dcterms:created>
  <dcterms:modified xsi:type="dcterms:W3CDTF">2016-12-21T12:16:50Z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